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PEDAGOG/ROZPOČET/02_rozpis/"/>
    </mc:Choice>
  </mc:AlternateContent>
  <xr:revisionPtr revIDLastSave="0" documentId="8_{A8A43825-B71B-4E06-8816-06E207CC5773}" xr6:coauthVersionLast="47" xr6:coauthVersionMax="47" xr10:uidLastSave="{00000000-0000-0000-0000-000000000000}"/>
  <bookViews>
    <workbookView xWindow="-120" yWindow="-120" windowWidth="29040" windowHeight="15840" tabRatio="807" xr2:uid="{00000000-000D-0000-FFFF-FFFF00000000}"/>
  </bookViews>
  <sheets>
    <sheet name="komentář" sheetId="46" r:id="rId1"/>
    <sheet name="LB " sheetId="48" r:id="rId2"/>
    <sheet name="FR" sheetId="44" r:id="rId3"/>
    <sheet name="JN" sheetId="29" r:id="rId4"/>
    <sheet name="TA" sheetId="30" r:id="rId5"/>
    <sheet name="ŽB" sheetId="31" r:id="rId6"/>
    <sheet name="ČL" sheetId="32" r:id="rId7"/>
    <sheet name="NB" sheetId="39" r:id="rId8"/>
    <sheet name="SM" sheetId="40" r:id="rId9"/>
    <sheet name="JI" sheetId="41" r:id="rId10"/>
    <sheet name="TU" sheetId="42" r:id="rId11"/>
    <sheet name="sumář" sheetId="47" r:id="rId12"/>
  </sheets>
  <definedNames>
    <definedName name="_xlnm._FilterDatabase" localSheetId="6" hidden="1">ČL!$G$1:$G$239</definedName>
    <definedName name="_xlnm._FilterDatabase" localSheetId="2" hidden="1">FR!$G$1:$G$154</definedName>
    <definedName name="_xlnm._FilterDatabase" localSheetId="9" hidden="1">JI!$G$1:$G$122</definedName>
    <definedName name="_xlnm._FilterDatabase" localSheetId="3" hidden="1">JN!$H$1:$H$167</definedName>
    <definedName name="_xlnm._FilterDatabase" localSheetId="1" hidden="1">'LB '!$U$1:$U$465</definedName>
    <definedName name="_xlnm._FilterDatabase" localSheetId="7" hidden="1">NB!$F$1:$F$113</definedName>
    <definedName name="_xlnm._FilterDatabase" localSheetId="8" hidden="1">SM!$G$1:$G$145</definedName>
    <definedName name="_xlnm._FilterDatabase" localSheetId="4" hidden="1">TA!$H$1:$H$90</definedName>
    <definedName name="_xlnm._FilterDatabase" localSheetId="10" hidden="1">TU!$G$1:$G$172</definedName>
    <definedName name="_xlnm._FilterDatabase" localSheetId="5" hidden="1">ŽB!$H$1:$H$71</definedName>
    <definedName name="_xlnm.Print_Titles" localSheetId="2">FR!$5:$11</definedName>
    <definedName name="_xlnm.Print_Titles" localSheetId="1">'LB 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65" i="48" l="1"/>
  <c r="AE362" i="48"/>
  <c r="AE360" i="48"/>
  <c r="AE355" i="48"/>
  <c r="AE349" i="48"/>
  <c r="AE344" i="48"/>
  <c r="AE339" i="48"/>
  <c r="AE334" i="48"/>
  <c r="AE328" i="48"/>
  <c r="AE323" i="48"/>
  <c r="AE318" i="48"/>
  <c r="AE312" i="48"/>
  <c r="AE309" i="48"/>
  <c r="AE304" i="48"/>
  <c r="AE299" i="48"/>
  <c r="AE296" i="48"/>
  <c r="AE291" i="48"/>
  <c r="AE286" i="48"/>
  <c r="AE280" i="48"/>
  <c r="AE276" i="48"/>
  <c r="AE269" i="48"/>
  <c r="AE266" i="48"/>
  <c r="AE263" i="48"/>
  <c r="AE260" i="48"/>
  <c r="AE258" i="48"/>
  <c r="AE254" i="48"/>
  <c r="AE251" i="48"/>
  <c r="AE246" i="48"/>
  <c r="AE241" i="48"/>
  <c r="AE239" i="48"/>
  <c r="AE232" i="48"/>
  <c r="AE228" i="48"/>
  <c r="AE223" i="48"/>
  <c r="AE220" i="48"/>
  <c r="AE215" i="48"/>
  <c r="AE212" i="48"/>
  <c r="AE209" i="48"/>
  <c r="AE207" i="48"/>
  <c r="AE202" i="48"/>
  <c r="AE197" i="48"/>
  <c r="AE192" i="48"/>
  <c r="AE187" i="48"/>
  <c r="AE182" i="48"/>
  <c r="AE177" i="48"/>
  <c r="AE172" i="48"/>
  <c r="AE167" i="48"/>
  <c r="AE163" i="48"/>
  <c r="AE158" i="48"/>
  <c r="AE152" i="48"/>
  <c r="AE146" i="48"/>
  <c r="AE141" i="48"/>
  <c r="AE135" i="48"/>
  <c r="AE130" i="48"/>
  <c r="AE125" i="48"/>
  <c r="AE120" i="48"/>
  <c r="AE115" i="48"/>
  <c r="AE110" i="48"/>
  <c r="AE104" i="48"/>
  <c r="AE98" i="48"/>
  <c r="AE94" i="48"/>
  <c r="AE91" i="48"/>
  <c r="AE89" i="48"/>
  <c r="AE86" i="48"/>
  <c r="AE83" i="48"/>
  <c r="AE81" i="48"/>
  <c r="AE78" i="48"/>
  <c r="AE75" i="48"/>
  <c r="AE72" i="48"/>
  <c r="AE69" i="48"/>
  <c r="AE66" i="48"/>
  <c r="AE63" i="48"/>
  <c r="AE60" i="48"/>
  <c r="AE56" i="48"/>
  <c r="AE54" i="48"/>
  <c r="AE51" i="48"/>
  <c r="AE48" i="48"/>
  <c r="AE45" i="48"/>
  <c r="AE43" i="48"/>
  <c r="AE41" i="48"/>
  <c r="AE39" i="48"/>
  <c r="AE36" i="48"/>
  <c r="AE33" i="48"/>
  <c r="AE30" i="48"/>
  <c r="AE27" i="48"/>
  <c r="AE24" i="48"/>
  <c r="AE20" i="48"/>
  <c r="AE17" i="48"/>
  <c r="AE13" i="48"/>
  <c r="V365" i="48"/>
  <c r="V362" i="48"/>
  <c r="V360" i="48"/>
  <c r="V355" i="48"/>
  <c r="V349" i="48"/>
  <c r="V344" i="48"/>
  <c r="V339" i="48"/>
  <c r="V334" i="48"/>
  <c r="V328" i="48"/>
  <c r="V323" i="48"/>
  <c r="V318" i="48"/>
  <c r="V312" i="48"/>
  <c r="V309" i="48"/>
  <c r="V304" i="48"/>
  <c r="V299" i="48"/>
  <c r="V296" i="48"/>
  <c r="V291" i="48"/>
  <c r="V286" i="48"/>
  <c r="V280" i="48"/>
  <c r="V276" i="48"/>
  <c r="V269" i="48"/>
  <c r="V266" i="48"/>
  <c r="V263" i="48"/>
  <c r="V260" i="48"/>
  <c r="V258" i="48"/>
  <c r="V254" i="48"/>
  <c r="V251" i="48"/>
  <c r="V246" i="48"/>
  <c r="V241" i="48"/>
  <c r="V239" i="48"/>
  <c r="V232" i="48"/>
  <c r="V228" i="48"/>
  <c r="V223" i="48"/>
  <c r="V220" i="48"/>
  <c r="V215" i="48"/>
  <c r="V212" i="48"/>
  <c r="V209" i="48"/>
  <c r="V207" i="48"/>
  <c r="V202" i="48"/>
  <c r="V197" i="48"/>
  <c r="V192" i="48"/>
  <c r="V187" i="48"/>
  <c r="V182" i="48"/>
  <c r="V177" i="48"/>
  <c r="V172" i="48"/>
  <c r="V167" i="48"/>
  <c r="V163" i="48"/>
  <c r="V158" i="48"/>
  <c r="V152" i="48"/>
  <c r="V146" i="48"/>
  <c r="V141" i="48"/>
  <c r="V135" i="48"/>
  <c r="V130" i="48"/>
  <c r="V125" i="48"/>
  <c r="V120" i="48"/>
  <c r="V115" i="48"/>
  <c r="V110" i="48"/>
  <c r="V104" i="48"/>
  <c r="V98" i="48"/>
  <c r="V94" i="48"/>
  <c r="V91" i="48"/>
  <c r="V89" i="48"/>
  <c r="V86" i="48"/>
  <c r="V83" i="48"/>
  <c r="V81" i="48"/>
  <c r="V78" i="48"/>
  <c r="V75" i="48"/>
  <c r="V72" i="48"/>
  <c r="V69" i="48"/>
  <c r="V66" i="48"/>
  <c r="V63" i="48"/>
  <c r="V60" i="48"/>
  <c r="V56" i="48"/>
  <c r="V54" i="48"/>
  <c r="V51" i="48"/>
  <c r="V48" i="48"/>
  <c r="V45" i="48"/>
  <c r="V43" i="48"/>
  <c r="V41" i="48"/>
  <c r="V39" i="48"/>
  <c r="V36" i="48"/>
  <c r="V33" i="48"/>
  <c r="V30" i="48"/>
  <c r="V27" i="48"/>
  <c r="V24" i="48"/>
  <c r="V20" i="48"/>
  <c r="V17" i="48"/>
  <c r="V13" i="48"/>
  <c r="AF87" i="42" l="1"/>
  <c r="P87" i="42"/>
  <c r="AF59" i="42"/>
  <c r="P59" i="42"/>
  <c r="AF46" i="42"/>
  <c r="P46" i="42"/>
  <c r="AF92" i="41"/>
  <c r="P92" i="41"/>
  <c r="AF36" i="41"/>
  <c r="P36" i="41"/>
  <c r="AF18" i="41"/>
  <c r="P18" i="41"/>
  <c r="AF96" i="40"/>
  <c r="P96" i="40"/>
  <c r="AF41" i="40"/>
  <c r="P41" i="40"/>
  <c r="AF36" i="40"/>
  <c r="P36" i="40"/>
  <c r="AF25" i="40"/>
  <c r="P25" i="40"/>
  <c r="AF52" i="39"/>
  <c r="P52" i="39"/>
  <c r="AF28" i="39"/>
  <c r="AF19" i="39"/>
  <c r="AF16" i="39"/>
  <c r="P28" i="39"/>
  <c r="P19" i="39"/>
  <c r="P16" i="39"/>
  <c r="AF307" i="48"/>
  <c r="AF289" i="48"/>
  <c r="AF283" i="48"/>
  <c r="AF278" i="48"/>
  <c r="AF265" i="48"/>
  <c r="AF256" i="48"/>
  <c r="P307" i="48"/>
  <c r="P289" i="48"/>
  <c r="P283" i="48"/>
  <c r="P278" i="48"/>
  <c r="P265" i="48"/>
  <c r="P256" i="48"/>
  <c r="AF200" i="48"/>
  <c r="P200" i="48"/>
  <c r="AF180" i="48"/>
  <c r="P180" i="48"/>
  <c r="AF165" i="48"/>
  <c r="P165" i="48"/>
  <c r="AF155" i="48"/>
  <c r="P155" i="48"/>
  <c r="AF150" i="48"/>
  <c r="P150" i="48"/>
  <c r="AF102" i="48"/>
  <c r="P102" i="48"/>
  <c r="AF53" i="44" l="1"/>
  <c r="AF94" i="44" l="1"/>
  <c r="P94" i="44"/>
  <c r="AF20" i="44"/>
  <c r="P53" i="44"/>
  <c r="P20" i="44"/>
  <c r="AF56" i="32"/>
  <c r="AF220" i="32"/>
  <c r="P220" i="32"/>
  <c r="AF163" i="32"/>
  <c r="P163" i="32"/>
  <c r="AF118" i="32"/>
  <c r="P118" i="32"/>
  <c r="AF75" i="32"/>
  <c r="P75" i="32"/>
  <c r="P56" i="32"/>
  <c r="AF44" i="32"/>
  <c r="P44" i="32"/>
  <c r="AF29" i="32"/>
  <c r="P29" i="32"/>
  <c r="AF23" i="32"/>
  <c r="P23" i="32"/>
  <c r="AF19" i="32"/>
  <c r="P19" i="32"/>
  <c r="AF30" i="31"/>
  <c r="P30" i="31"/>
  <c r="AF25" i="31"/>
  <c r="P25" i="31"/>
  <c r="AF72" i="30"/>
  <c r="P72" i="30"/>
  <c r="AF61" i="30"/>
  <c r="P61" i="30"/>
  <c r="AF57" i="30"/>
  <c r="P57" i="30"/>
  <c r="AF38" i="30"/>
  <c r="P38" i="30"/>
  <c r="AF25" i="30"/>
  <c r="P25" i="30"/>
  <c r="AF19" i="30"/>
  <c r="P19" i="30"/>
  <c r="AF149" i="29"/>
  <c r="P149" i="29"/>
  <c r="AF99" i="29"/>
  <c r="P99" i="29"/>
  <c r="AF94" i="29"/>
  <c r="P94" i="29"/>
  <c r="AF74" i="29"/>
  <c r="P74" i="29"/>
  <c r="AF69" i="29"/>
  <c r="P69" i="29"/>
  <c r="AF38" i="29"/>
  <c r="P38" i="29"/>
  <c r="AC365" i="48" l="1"/>
  <c r="AC362" i="48"/>
  <c r="AC360" i="48"/>
  <c r="AC355" i="48"/>
  <c r="AC349" i="48"/>
  <c r="AC344" i="48"/>
  <c r="AC339" i="48"/>
  <c r="AC334" i="48"/>
  <c r="AC328" i="48"/>
  <c r="AC323" i="48"/>
  <c r="AC318" i="48"/>
  <c r="AC312" i="48"/>
  <c r="AC309" i="48"/>
  <c r="AC304" i="48"/>
  <c r="AC299" i="48"/>
  <c r="AC296" i="48"/>
  <c r="AC291" i="48"/>
  <c r="AC286" i="48"/>
  <c r="AC280" i="48"/>
  <c r="AC276" i="48"/>
  <c r="AC269" i="48"/>
  <c r="AC266" i="48"/>
  <c r="AC263" i="48"/>
  <c r="AC260" i="48"/>
  <c r="AC258" i="48"/>
  <c r="AC254" i="48"/>
  <c r="AC251" i="48"/>
  <c r="AC246" i="48"/>
  <c r="AC241" i="48"/>
  <c r="AC239" i="48"/>
  <c r="AC232" i="48"/>
  <c r="AC228" i="48"/>
  <c r="AC223" i="48"/>
  <c r="AC220" i="48"/>
  <c r="AC215" i="48"/>
  <c r="AC212" i="48"/>
  <c r="AC209" i="48"/>
  <c r="AC207" i="48"/>
  <c r="AC202" i="48"/>
  <c r="AC197" i="48"/>
  <c r="AC192" i="48"/>
  <c r="AC187" i="48"/>
  <c r="AC182" i="48"/>
  <c r="AC177" i="48"/>
  <c r="AC172" i="48"/>
  <c r="AC167" i="48"/>
  <c r="AC163" i="48"/>
  <c r="AC158" i="48"/>
  <c r="AC152" i="48"/>
  <c r="AC146" i="48"/>
  <c r="AC141" i="48"/>
  <c r="AC135" i="48"/>
  <c r="AC130" i="48"/>
  <c r="AC125" i="48"/>
  <c r="AC120" i="48"/>
  <c r="AC115" i="48"/>
  <c r="AC110" i="48"/>
  <c r="AC104" i="48"/>
  <c r="AC98" i="48"/>
  <c r="AC94" i="48"/>
  <c r="AC91" i="48"/>
  <c r="AC89" i="48"/>
  <c r="AC86" i="48"/>
  <c r="AC83" i="48"/>
  <c r="AC81" i="48"/>
  <c r="AC78" i="48"/>
  <c r="AC75" i="48"/>
  <c r="AC72" i="48"/>
  <c r="AC69" i="48"/>
  <c r="AC66" i="48"/>
  <c r="AC63" i="48"/>
  <c r="AC60" i="48"/>
  <c r="AC56" i="48"/>
  <c r="AC54" i="48"/>
  <c r="AC51" i="48"/>
  <c r="AC48" i="48"/>
  <c r="AC45" i="48"/>
  <c r="AC43" i="48"/>
  <c r="AC41" i="48"/>
  <c r="AC39" i="48"/>
  <c r="AC36" i="48"/>
  <c r="AC33" i="48"/>
  <c r="AC30" i="48"/>
  <c r="AC27" i="48"/>
  <c r="AC24" i="48"/>
  <c r="AC20" i="48"/>
  <c r="AC17" i="48"/>
  <c r="AC13" i="48"/>
  <c r="O14" i="48"/>
  <c r="O15" i="48"/>
  <c r="O16" i="48"/>
  <c r="O18" i="48"/>
  <c r="O19" i="48"/>
  <c r="O21" i="48"/>
  <c r="O22" i="48"/>
  <c r="O23" i="48"/>
  <c r="O25" i="48"/>
  <c r="O26" i="48"/>
  <c r="O28" i="48"/>
  <c r="O29" i="48"/>
  <c r="O31" i="48"/>
  <c r="O32" i="48"/>
  <c r="O34" i="48"/>
  <c r="O35" i="48"/>
  <c r="O37" i="48"/>
  <c r="O38" i="48"/>
  <c r="O40" i="48"/>
  <c r="O41" i="48" s="1"/>
  <c r="O42" i="48"/>
  <c r="O43" i="48" s="1"/>
  <c r="O44" i="48"/>
  <c r="O45" i="48" s="1"/>
  <c r="O46" i="48"/>
  <c r="O47" i="48"/>
  <c r="O49" i="48"/>
  <c r="O50" i="48"/>
  <c r="O52" i="48"/>
  <c r="O53" i="48"/>
  <c r="O55" i="48"/>
  <c r="O56" i="48" s="1"/>
  <c r="O57" i="48"/>
  <c r="O58" i="48"/>
  <c r="O59" i="48"/>
  <c r="O61" i="48"/>
  <c r="O62" i="48"/>
  <c r="O64" i="48"/>
  <c r="O65" i="48"/>
  <c r="O67" i="48"/>
  <c r="O68" i="48"/>
  <c r="O70" i="48"/>
  <c r="O71" i="48"/>
  <c r="O73" i="48"/>
  <c r="O74" i="48"/>
  <c r="O76" i="48"/>
  <c r="O77" i="48"/>
  <c r="O79" i="48"/>
  <c r="O80" i="48"/>
  <c r="O82" i="48"/>
  <c r="O83" i="48" s="1"/>
  <c r="O84" i="48"/>
  <c r="O85" i="48"/>
  <c r="O87" i="48"/>
  <c r="O88" i="48"/>
  <c r="O90" i="48"/>
  <c r="O91" i="48" s="1"/>
  <c r="O92" i="48"/>
  <c r="O93" i="48"/>
  <c r="O95" i="48"/>
  <c r="O96" i="48"/>
  <c r="O97" i="48"/>
  <c r="O99" i="48"/>
  <c r="O100" i="48"/>
  <c r="O101" i="48"/>
  <c r="O102" i="48"/>
  <c r="O103" i="48"/>
  <c r="O105" i="48"/>
  <c r="O106" i="48"/>
  <c r="O107" i="48"/>
  <c r="O108" i="48"/>
  <c r="O109" i="48"/>
  <c r="O111" i="48"/>
  <c r="O112" i="48"/>
  <c r="O113" i="48"/>
  <c r="O114" i="48"/>
  <c r="O116" i="48"/>
  <c r="O117" i="48"/>
  <c r="O118" i="48"/>
  <c r="O119" i="48"/>
  <c r="O121" i="48"/>
  <c r="O122" i="48"/>
  <c r="O123" i="48"/>
  <c r="O124" i="48"/>
  <c r="O126" i="48"/>
  <c r="O127" i="48"/>
  <c r="O128" i="48"/>
  <c r="O129" i="48"/>
  <c r="O131" i="48"/>
  <c r="O132" i="48"/>
  <c r="O133" i="48"/>
  <c r="O134" i="48"/>
  <c r="O136" i="48"/>
  <c r="O137" i="48"/>
  <c r="O138" i="48"/>
  <c r="O139" i="48"/>
  <c r="O140" i="48"/>
  <c r="O142" i="48"/>
  <c r="O143" i="48"/>
  <c r="O144" i="48"/>
  <c r="O145" i="48"/>
  <c r="O147" i="48"/>
  <c r="O148" i="48"/>
  <c r="O149" i="48"/>
  <c r="O150" i="48"/>
  <c r="O151" i="48"/>
  <c r="O153" i="48"/>
  <c r="O154" i="48"/>
  <c r="O155" i="48"/>
  <c r="O156" i="48"/>
  <c r="O157" i="48"/>
  <c r="O159" i="48"/>
  <c r="O160" i="48"/>
  <c r="O161" i="48"/>
  <c r="O162" i="48"/>
  <c r="O164" i="48"/>
  <c r="O165" i="48"/>
  <c r="O166" i="48"/>
  <c r="O168" i="48"/>
  <c r="O169" i="48"/>
  <c r="O170" i="48"/>
  <c r="O171" i="48"/>
  <c r="O173" i="48"/>
  <c r="O174" i="48"/>
  <c r="O175" i="48"/>
  <c r="O176" i="48"/>
  <c r="O178" i="48"/>
  <c r="O179" i="48"/>
  <c r="O180" i="48"/>
  <c r="O181" i="48"/>
  <c r="O183" i="48"/>
  <c r="O184" i="48"/>
  <c r="O185" i="48"/>
  <c r="O186" i="48"/>
  <c r="O188" i="48"/>
  <c r="O189" i="48"/>
  <c r="O190" i="48"/>
  <c r="O191" i="48"/>
  <c r="O193" i="48"/>
  <c r="O194" i="48"/>
  <c r="O195" i="48"/>
  <c r="O196" i="48"/>
  <c r="O198" i="48"/>
  <c r="O199" i="48"/>
  <c r="O200" i="48"/>
  <c r="O201" i="48"/>
  <c r="O203" i="48"/>
  <c r="O204" i="48"/>
  <c r="O205" i="48"/>
  <c r="O206" i="48"/>
  <c r="O208" i="48"/>
  <c r="O209" i="48" s="1"/>
  <c r="O210" i="48"/>
  <c r="O211" i="48"/>
  <c r="O213" i="48"/>
  <c r="O214" i="48"/>
  <c r="O216" i="48"/>
  <c r="O217" i="48"/>
  <c r="O218" i="48"/>
  <c r="O219" i="48"/>
  <c r="O221" i="48"/>
  <c r="O222" i="48"/>
  <c r="O224" i="48"/>
  <c r="O225" i="48"/>
  <c r="O226" i="48"/>
  <c r="O227" i="48"/>
  <c r="O229" i="48"/>
  <c r="O230" i="48"/>
  <c r="O231" i="48"/>
  <c r="O233" i="48"/>
  <c r="O234" i="48"/>
  <c r="O235" i="48"/>
  <c r="O236" i="48"/>
  <c r="O237" i="48"/>
  <c r="O238" i="48"/>
  <c r="O240" i="48"/>
  <c r="O241" i="48" s="1"/>
  <c r="O242" i="48"/>
  <c r="O243" i="48"/>
  <c r="O244" i="48"/>
  <c r="O245" i="48"/>
  <c r="O247" i="48"/>
  <c r="O248" i="48"/>
  <c r="O249" i="48"/>
  <c r="O250" i="48"/>
  <c r="O252" i="48"/>
  <c r="O253" i="48"/>
  <c r="O255" i="48"/>
  <c r="O256" i="48"/>
  <c r="O257" i="48"/>
  <c r="O259" i="48"/>
  <c r="O260" i="48" s="1"/>
  <c r="O261" i="48"/>
  <c r="O262" i="48"/>
  <c r="O264" i="48"/>
  <c r="O265" i="48"/>
  <c r="O267" i="48"/>
  <c r="O268" i="48"/>
  <c r="O270" i="48"/>
  <c r="O271" i="48"/>
  <c r="O272" i="48"/>
  <c r="O273" i="48"/>
  <c r="O274" i="48"/>
  <c r="O275" i="48"/>
  <c r="O277" i="48"/>
  <c r="O278" i="48"/>
  <c r="O279" i="48"/>
  <c r="O281" i="48"/>
  <c r="O282" i="48"/>
  <c r="O283" i="48"/>
  <c r="O284" i="48"/>
  <c r="O285" i="48"/>
  <c r="O287" i="48"/>
  <c r="O288" i="48"/>
  <c r="O289" i="48"/>
  <c r="O290" i="48"/>
  <c r="O292" i="48"/>
  <c r="O293" i="48"/>
  <c r="O294" i="48"/>
  <c r="O295" i="48"/>
  <c r="O297" i="48"/>
  <c r="O298" i="48"/>
  <c r="O300" i="48"/>
  <c r="O301" i="48"/>
  <c r="O302" i="48"/>
  <c r="O303" i="48"/>
  <c r="O305" i="48"/>
  <c r="O306" i="48"/>
  <c r="O307" i="48"/>
  <c r="O308" i="48"/>
  <c r="O310" i="48"/>
  <c r="O311" i="48"/>
  <c r="O313" i="48"/>
  <c r="O314" i="48"/>
  <c r="O315" i="48"/>
  <c r="O316" i="48"/>
  <c r="O317" i="48"/>
  <c r="O319" i="48"/>
  <c r="O320" i="48"/>
  <c r="O321" i="48"/>
  <c r="O322" i="48"/>
  <c r="O324" i="48"/>
  <c r="O325" i="48"/>
  <c r="O326" i="48"/>
  <c r="O327" i="48"/>
  <c r="O329" i="48"/>
  <c r="O330" i="48"/>
  <c r="O331" i="48"/>
  <c r="O332" i="48"/>
  <c r="O333" i="48"/>
  <c r="O335" i="48"/>
  <c r="O336" i="48"/>
  <c r="O337" i="48"/>
  <c r="O338" i="48"/>
  <c r="O340" i="48"/>
  <c r="O341" i="48"/>
  <c r="O342" i="48"/>
  <c r="O343" i="48"/>
  <c r="O345" i="48"/>
  <c r="O346" i="48"/>
  <c r="O347" i="48"/>
  <c r="O348" i="48"/>
  <c r="O350" i="48"/>
  <c r="O351" i="48"/>
  <c r="O352" i="48"/>
  <c r="O353" i="48"/>
  <c r="O354" i="48"/>
  <c r="O356" i="48"/>
  <c r="O357" i="48"/>
  <c r="O358" i="48"/>
  <c r="O359" i="48"/>
  <c r="O361" i="48"/>
  <c r="O362" i="48" s="1"/>
  <c r="O363" i="48"/>
  <c r="O364" i="48"/>
  <c r="W365" i="48"/>
  <c r="T365" i="48"/>
  <c r="S365" i="48"/>
  <c r="R365" i="48"/>
  <c r="Q365" i="48"/>
  <c r="P365" i="48"/>
  <c r="W362" i="48"/>
  <c r="T362" i="48"/>
  <c r="S362" i="48"/>
  <c r="R362" i="48"/>
  <c r="Q362" i="48"/>
  <c r="P362" i="48"/>
  <c r="W360" i="48"/>
  <c r="T360" i="48"/>
  <c r="S360" i="48"/>
  <c r="R360" i="48"/>
  <c r="Q360" i="48"/>
  <c r="P360" i="48"/>
  <c r="W355" i="48"/>
  <c r="T355" i="48"/>
  <c r="S355" i="48"/>
  <c r="R355" i="48"/>
  <c r="Q355" i="48"/>
  <c r="P355" i="48"/>
  <c r="W349" i="48"/>
  <c r="T349" i="48"/>
  <c r="S349" i="48"/>
  <c r="R349" i="48"/>
  <c r="Q349" i="48"/>
  <c r="P349" i="48"/>
  <c r="W344" i="48"/>
  <c r="T344" i="48"/>
  <c r="S344" i="48"/>
  <c r="R344" i="48"/>
  <c r="Q344" i="48"/>
  <c r="P344" i="48"/>
  <c r="W339" i="48"/>
  <c r="T339" i="48"/>
  <c r="S339" i="48"/>
  <c r="R339" i="48"/>
  <c r="Q339" i="48"/>
  <c r="P339" i="48"/>
  <c r="W334" i="48"/>
  <c r="T334" i="48"/>
  <c r="S334" i="48"/>
  <c r="R334" i="48"/>
  <c r="Q334" i="48"/>
  <c r="P334" i="48"/>
  <c r="W328" i="48"/>
  <c r="T328" i="48"/>
  <c r="S328" i="48"/>
  <c r="R328" i="48"/>
  <c r="Q328" i="48"/>
  <c r="P328" i="48"/>
  <c r="W323" i="48"/>
  <c r="T323" i="48"/>
  <c r="S323" i="48"/>
  <c r="R323" i="48"/>
  <c r="Q323" i="48"/>
  <c r="P323" i="48"/>
  <c r="W318" i="48"/>
  <c r="T318" i="48"/>
  <c r="S318" i="48"/>
  <c r="R318" i="48"/>
  <c r="Q318" i="48"/>
  <c r="P318" i="48"/>
  <c r="W312" i="48"/>
  <c r="T312" i="48"/>
  <c r="S312" i="48"/>
  <c r="R312" i="48"/>
  <c r="Q312" i="48"/>
  <c r="P312" i="48"/>
  <c r="W309" i="48"/>
  <c r="T309" i="48"/>
  <c r="S309" i="48"/>
  <c r="R309" i="48"/>
  <c r="Q309" i="48"/>
  <c r="P309" i="48"/>
  <c r="W304" i="48"/>
  <c r="T304" i="48"/>
  <c r="S304" i="48"/>
  <c r="R304" i="48"/>
  <c r="Q304" i="48"/>
  <c r="P304" i="48"/>
  <c r="W299" i="48"/>
  <c r="T299" i="48"/>
  <c r="S299" i="48"/>
  <c r="R299" i="48"/>
  <c r="Q299" i="48"/>
  <c r="P299" i="48"/>
  <c r="W296" i="48"/>
  <c r="T296" i="48"/>
  <c r="S296" i="48"/>
  <c r="R296" i="48"/>
  <c r="Q296" i="48"/>
  <c r="P296" i="48"/>
  <c r="W291" i="48"/>
  <c r="T291" i="48"/>
  <c r="S291" i="48"/>
  <c r="R291" i="48"/>
  <c r="Q291" i="48"/>
  <c r="P291" i="48"/>
  <c r="W286" i="48"/>
  <c r="T286" i="48"/>
  <c r="S286" i="48"/>
  <c r="R286" i="48"/>
  <c r="Q286" i="48"/>
  <c r="P286" i="48"/>
  <c r="W280" i="48"/>
  <c r="T280" i="48"/>
  <c r="S280" i="48"/>
  <c r="R280" i="48"/>
  <c r="Q280" i="48"/>
  <c r="P280" i="48"/>
  <c r="W276" i="48"/>
  <c r="T276" i="48"/>
  <c r="S276" i="48"/>
  <c r="R276" i="48"/>
  <c r="Q276" i="48"/>
  <c r="P276" i="48"/>
  <c r="W269" i="48"/>
  <c r="T269" i="48"/>
  <c r="S269" i="48"/>
  <c r="R269" i="48"/>
  <c r="Q269" i="48"/>
  <c r="P269" i="48"/>
  <c r="W266" i="48"/>
  <c r="T266" i="48"/>
  <c r="S266" i="48"/>
  <c r="R266" i="48"/>
  <c r="Q266" i="48"/>
  <c r="P266" i="48"/>
  <c r="W263" i="48"/>
  <c r="T263" i="48"/>
  <c r="S263" i="48"/>
  <c r="R263" i="48"/>
  <c r="Q263" i="48"/>
  <c r="P263" i="48"/>
  <c r="W260" i="48"/>
  <c r="T260" i="48"/>
  <c r="S260" i="48"/>
  <c r="R260" i="48"/>
  <c r="Q260" i="48"/>
  <c r="P260" i="48"/>
  <c r="W258" i="48"/>
  <c r="T258" i="48"/>
  <c r="S258" i="48"/>
  <c r="R258" i="48"/>
  <c r="Q258" i="48"/>
  <c r="P258" i="48"/>
  <c r="W254" i="48"/>
  <c r="T254" i="48"/>
  <c r="S254" i="48"/>
  <c r="R254" i="48"/>
  <c r="Q254" i="48"/>
  <c r="P254" i="48"/>
  <c r="W251" i="48"/>
  <c r="T251" i="48"/>
  <c r="S251" i="48"/>
  <c r="R251" i="48"/>
  <c r="Q251" i="48"/>
  <c r="P251" i="48"/>
  <c r="W246" i="48"/>
  <c r="T246" i="48"/>
  <c r="S246" i="48"/>
  <c r="R246" i="48"/>
  <c r="Q246" i="48"/>
  <c r="P246" i="48"/>
  <c r="W241" i="48"/>
  <c r="T241" i="48"/>
  <c r="S241" i="48"/>
  <c r="R241" i="48"/>
  <c r="Q241" i="48"/>
  <c r="P241" i="48"/>
  <c r="W239" i="48"/>
  <c r="T239" i="48"/>
  <c r="S239" i="48"/>
  <c r="R239" i="48"/>
  <c r="Q239" i="48"/>
  <c r="P239" i="48"/>
  <c r="W232" i="48"/>
  <c r="T232" i="48"/>
  <c r="S232" i="48"/>
  <c r="R232" i="48"/>
  <c r="Q232" i="48"/>
  <c r="P232" i="48"/>
  <c r="W228" i="48"/>
  <c r="T228" i="48"/>
  <c r="S228" i="48"/>
  <c r="R228" i="48"/>
  <c r="Q228" i="48"/>
  <c r="P228" i="48"/>
  <c r="W223" i="48"/>
  <c r="T223" i="48"/>
  <c r="S223" i="48"/>
  <c r="R223" i="48"/>
  <c r="Q223" i="48"/>
  <c r="P223" i="48"/>
  <c r="W220" i="48"/>
  <c r="T220" i="48"/>
  <c r="S220" i="48"/>
  <c r="R220" i="48"/>
  <c r="Q220" i="48"/>
  <c r="P220" i="48"/>
  <c r="W215" i="48"/>
  <c r="T215" i="48"/>
  <c r="S215" i="48"/>
  <c r="R215" i="48"/>
  <c r="Q215" i="48"/>
  <c r="P215" i="48"/>
  <c r="W212" i="48"/>
  <c r="T212" i="48"/>
  <c r="S212" i="48"/>
  <c r="R212" i="48"/>
  <c r="Q212" i="48"/>
  <c r="P212" i="48"/>
  <c r="W209" i="48"/>
  <c r="T209" i="48"/>
  <c r="S209" i="48"/>
  <c r="R209" i="48"/>
  <c r="Q209" i="48"/>
  <c r="P209" i="48"/>
  <c r="W207" i="48"/>
  <c r="T207" i="48"/>
  <c r="S207" i="48"/>
  <c r="R207" i="48"/>
  <c r="Q207" i="48"/>
  <c r="P207" i="48"/>
  <c r="W202" i="48"/>
  <c r="T202" i="48"/>
  <c r="S202" i="48"/>
  <c r="R202" i="48"/>
  <c r="Q202" i="48"/>
  <c r="P202" i="48"/>
  <c r="W197" i="48"/>
  <c r="T197" i="48"/>
  <c r="S197" i="48"/>
  <c r="R197" i="48"/>
  <c r="Q197" i="48"/>
  <c r="P197" i="48"/>
  <c r="W192" i="48"/>
  <c r="T192" i="48"/>
  <c r="S192" i="48"/>
  <c r="R192" i="48"/>
  <c r="Q192" i="48"/>
  <c r="P192" i="48"/>
  <c r="W187" i="48"/>
  <c r="T187" i="48"/>
  <c r="S187" i="48"/>
  <c r="R187" i="48"/>
  <c r="Q187" i="48"/>
  <c r="P187" i="48"/>
  <c r="W182" i="48"/>
  <c r="T182" i="48"/>
  <c r="S182" i="48"/>
  <c r="R182" i="48"/>
  <c r="Q182" i="48"/>
  <c r="P182" i="48"/>
  <c r="W177" i="48"/>
  <c r="T177" i="48"/>
  <c r="S177" i="48"/>
  <c r="R177" i="48"/>
  <c r="Q177" i="48"/>
  <c r="P177" i="48"/>
  <c r="W172" i="48"/>
  <c r="T172" i="48"/>
  <c r="S172" i="48"/>
  <c r="R172" i="48"/>
  <c r="Q172" i="48"/>
  <c r="P172" i="48"/>
  <c r="W167" i="48"/>
  <c r="T167" i="48"/>
  <c r="S167" i="48"/>
  <c r="R167" i="48"/>
  <c r="Q167" i="48"/>
  <c r="P167" i="48"/>
  <c r="W163" i="48"/>
  <c r="T163" i="48"/>
  <c r="S163" i="48"/>
  <c r="R163" i="48"/>
  <c r="Q163" i="48"/>
  <c r="P163" i="48"/>
  <c r="W158" i="48"/>
  <c r="T158" i="48"/>
  <c r="S158" i="48"/>
  <c r="R158" i="48"/>
  <c r="Q158" i="48"/>
  <c r="P158" i="48"/>
  <c r="W152" i="48"/>
  <c r="T152" i="48"/>
  <c r="S152" i="48"/>
  <c r="R152" i="48"/>
  <c r="Q152" i="48"/>
  <c r="P152" i="48"/>
  <c r="W146" i="48"/>
  <c r="T146" i="48"/>
  <c r="S146" i="48"/>
  <c r="R146" i="48"/>
  <c r="Q146" i="48"/>
  <c r="P146" i="48"/>
  <c r="W141" i="48"/>
  <c r="T141" i="48"/>
  <c r="S141" i="48"/>
  <c r="R141" i="48"/>
  <c r="Q141" i="48"/>
  <c r="P141" i="48"/>
  <c r="W135" i="48"/>
  <c r="T135" i="48"/>
  <c r="S135" i="48"/>
  <c r="R135" i="48"/>
  <c r="Q135" i="48"/>
  <c r="P135" i="48"/>
  <c r="W130" i="48"/>
  <c r="T130" i="48"/>
  <c r="S130" i="48"/>
  <c r="R130" i="48"/>
  <c r="Q130" i="48"/>
  <c r="P130" i="48"/>
  <c r="W125" i="48"/>
  <c r="T125" i="48"/>
  <c r="S125" i="48"/>
  <c r="R125" i="48"/>
  <c r="Q125" i="48"/>
  <c r="P125" i="48"/>
  <c r="W120" i="48"/>
  <c r="T120" i="48"/>
  <c r="S120" i="48"/>
  <c r="R120" i="48"/>
  <c r="Q120" i="48"/>
  <c r="P120" i="48"/>
  <c r="W115" i="48"/>
  <c r="T115" i="48"/>
  <c r="S115" i="48"/>
  <c r="R115" i="48"/>
  <c r="Q115" i="48"/>
  <c r="P115" i="48"/>
  <c r="W110" i="48"/>
  <c r="T110" i="48"/>
  <c r="S110" i="48"/>
  <c r="R110" i="48"/>
  <c r="Q110" i="48"/>
  <c r="P110" i="48"/>
  <c r="W104" i="48"/>
  <c r="T104" i="48"/>
  <c r="S104" i="48"/>
  <c r="R104" i="48"/>
  <c r="Q104" i="48"/>
  <c r="P104" i="48"/>
  <c r="W98" i="48"/>
  <c r="T98" i="48"/>
  <c r="S98" i="48"/>
  <c r="R98" i="48"/>
  <c r="Q98" i="48"/>
  <c r="P98" i="48"/>
  <c r="W94" i="48"/>
  <c r="T94" i="48"/>
  <c r="S94" i="48"/>
  <c r="R94" i="48"/>
  <c r="Q94" i="48"/>
  <c r="P94" i="48"/>
  <c r="W91" i="48"/>
  <c r="T91" i="48"/>
  <c r="S91" i="48"/>
  <c r="R91" i="48"/>
  <c r="Q91" i="48"/>
  <c r="P91" i="48"/>
  <c r="W89" i="48"/>
  <c r="T89" i="48"/>
  <c r="S89" i="48"/>
  <c r="R89" i="48"/>
  <c r="Q89" i="48"/>
  <c r="P89" i="48"/>
  <c r="W86" i="48"/>
  <c r="T86" i="48"/>
  <c r="S86" i="48"/>
  <c r="R86" i="48"/>
  <c r="Q86" i="48"/>
  <c r="P86" i="48"/>
  <c r="W83" i="48"/>
  <c r="T83" i="48"/>
  <c r="S83" i="48"/>
  <c r="R83" i="48"/>
  <c r="Q83" i="48"/>
  <c r="P83" i="48"/>
  <c r="W81" i="48"/>
  <c r="T81" i="48"/>
  <c r="S81" i="48"/>
  <c r="R81" i="48"/>
  <c r="Q81" i="48"/>
  <c r="P81" i="48"/>
  <c r="W78" i="48"/>
  <c r="T78" i="48"/>
  <c r="S78" i="48"/>
  <c r="R78" i="48"/>
  <c r="Q78" i="48"/>
  <c r="P78" i="48"/>
  <c r="W75" i="48"/>
  <c r="T75" i="48"/>
  <c r="S75" i="48"/>
  <c r="R75" i="48"/>
  <c r="Q75" i="48"/>
  <c r="P75" i="48"/>
  <c r="W72" i="48"/>
  <c r="T72" i="48"/>
  <c r="S72" i="48"/>
  <c r="R72" i="48"/>
  <c r="Q72" i="48"/>
  <c r="P72" i="48"/>
  <c r="W69" i="48"/>
  <c r="T69" i="48"/>
  <c r="S69" i="48"/>
  <c r="R69" i="48"/>
  <c r="Q69" i="48"/>
  <c r="P69" i="48"/>
  <c r="W66" i="48"/>
  <c r="T66" i="48"/>
  <c r="S66" i="48"/>
  <c r="R66" i="48"/>
  <c r="Q66" i="48"/>
  <c r="P66" i="48"/>
  <c r="W63" i="48"/>
  <c r="T63" i="48"/>
  <c r="S63" i="48"/>
  <c r="R63" i="48"/>
  <c r="Q63" i="48"/>
  <c r="P63" i="48"/>
  <c r="W60" i="48"/>
  <c r="T60" i="48"/>
  <c r="S60" i="48"/>
  <c r="R60" i="48"/>
  <c r="Q60" i="48"/>
  <c r="P60" i="48"/>
  <c r="W56" i="48"/>
  <c r="T56" i="48"/>
  <c r="S56" i="48"/>
  <c r="R56" i="48"/>
  <c r="Q56" i="48"/>
  <c r="P56" i="48"/>
  <c r="W54" i="48"/>
  <c r="T54" i="48"/>
  <c r="S54" i="48"/>
  <c r="R54" i="48"/>
  <c r="Q54" i="48"/>
  <c r="P54" i="48"/>
  <c r="W51" i="48"/>
  <c r="T51" i="48"/>
  <c r="S51" i="48"/>
  <c r="R51" i="48"/>
  <c r="Q51" i="48"/>
  <c r="P51" i="48"/>
  <c r="W48" i="48"/>
  <c r="T48" i="48"/>
  <c r="S48" i="48"/>
  <c r="R48" i="48"/>
  <c r="Q48" i="48"/>
  <c r="P48" i="48"/>
  <c r="W45" i="48"/>
  <c r="T45" i="48"/>
  <c r="S45" i="48"/>
  <c r="R45" i="48"/>
  <c r="Q45" i="48"/>
  <c r="P45" i="48"/>
  <c r="W43" i="48"/>
  <c r="T43" i="48"/>
  <c r="S43" i="48"/>
  <c r="R43" i="48"/>
  <c r="Q43" i="48"/>
  <c r="P43" i="48"/>
  <c r="W41" i="48"/>
  <c r="T41" i="48"/>
  <c r="S41" i="48"/>
  <c r="R41" i="48"/>
  <c r="Q41" i="48"/>
  <c r="P41" i="48"/>
  <c r="W39" i="48"/>
  <c r="T39" i="48"/>
  <c r="S39" i="48"/>
  <c r="R39" i="48"/>
  <c r="Q39" i="48"/>
  <c r="P39" i="48"/>
  <c r="W36" i="48"/>
  <c r="T36" i="48"/>
  <c r="S36" i="48"/>
  <c r="R36" i="48"/>
  <c r="Q36" i="48"/>
  <c r="P36" i="48"/>
  <c r="W33" i="48"/>
  <c r="T33" i="48"/>
  <c r="S33" i="48"/>
  <c r="R33" i="48"/>
  <c r="Q33" i="48"/>
  <c r="P33" i="48"/>
  <c r="W30" i="48"/>
  <c r="T30" i="48"/>
  <c r="S30" i="48"/>
  <c r="R30" i="48"/>
  <c r="Q30" i="48"/>
  <c r="P30" i="48"/>
  <c r="W27" i="48"/>
  <c r="T27" i="48"/>
  <c r="S27" i="48"/>
  <c r="R27" i="48"/>
  <c r="Q27" i="48"/>
  <c r="P27" i="48"/>
  <c r="W24" i="48"/>
  <c r="T24" i="48"/>
  <c r="S24" i="48"/>
  <c r="R24" i="48"/>
  <c r="Q24" i="48"/>
  <c r="P24" i="48"/>
  <c r="W20" i="48"/>
  <c r="T20" i="48"/>
  <c r="S20" i="48"/>
  <c r="R20" i="48"/>
  <c r="Q20" i="48"/>
  <c r="P20" i="48"/>
  <c r="W17" i="48"/>
  <c r="T17" i="48"/>
  <c r="S17" i="48"/>
  <c r="R17" i="48"/>
  <c r="Q17" i="48"/>
  <c r="P17" i="48"/>
  <c r="W13" i="48"/>
  <c r="T13" i="48"/>
  <c r="S13" i="48"/>
  <c r="R13" i="48"/>
  <c r="Q13" i="48"/>
  <c r="P13" i="48"/>
  <c r="N365" i="48"/>
  <c r="M365" i="48"/>
  <c r="L365" i="48"/>
  <c r="K365" i="48"/>
  <c r="J365" i="48"/>
  <c r="N362" i="48"/>
  <c r="M362" i="48"/>
  <c r="L362" i="48"/>
  <c r="K362" i="48"/>
  <c r="J362" i="48"/>
  <c r="N360" i="48"/>
  <c r="M360" i="48"/>
  <c r="L360" i="48"/>
  <c r="K360" i="48"/>
  <c r="J360" i="48"/>
  <c r="N355" i="48"/>
  <c r="M355" i="48"/>
  <c r="L355" i="48"/>
  <c r="K355" i="48"/>
  <c r="J355" i="48"/>
  <c r="N349" i="48"/>
  <c r="M349" i="48"/>
  <c r="L349" i="48"/>
  <c r="K349" i="48"/>
  <c r="J349" i="48"/>
  <c r="N344" i="48"/>
  <c r="M344" i="48"/>
  <c r="L344" i="48"/>
  <c r="K344" i="48"/>
  <c r="J344" i="48"/>
  <c r="N339" i="48"/>
  <c r="M339" i="48"/>
  <c r="L339" i="48"/>
  <c r="K339" i="48"/>
  <c r="J339" i="48"/>
  <c r="N334" i="48"/>
  <c r="M334" i="48"/>
  <c r="L334" i="48"/>
  <c r="K334" i="48"/>
  <c r="J334" i="48"/>
  <c r="N328" i="48"/>
  <c r="M328" i="48"/>
  <c r="L328" i="48"/>
  <c r="K328" i="48"/>
  <c r="J328" i="48"/>
  <c r="N323" i="48"/>
  <c r="M323" i="48"/>
  <c r="L323" i="48"/>
  <c r="K323" i="48"/>
  <c r="J323" i="48"/>
  <c r="N318" i="48"/>
  <c r="M318" i="48"/>
  <c r="L318" i="48"/>
  <c r="K318" i="48"/>
  <c r="J318" i="48"/>
  <c r="N312" i="48"/>
  <c r="M312" i="48"/>
  <c r="L312" i="48"/>
  <c r="K312" i="48"/>
  <c r="J312" i="48"/>
  <c r="N309" i="48"/>
  <c r="M309" i="48"/>
  <c r="L309" i="48"/>
  <c r="K309" i="48"/>
  <c r="J309" i="48"/>
  <c r="N304" i="48"/>
  <c r="M304" i="48"/>
  <c r="L304" i="48"/>
  <c r="K304" i="48"/>
  <c r="J304" i="48"/>
  <c r="N299" i="48"/>
  <c r="M299" i="48"/>
  <c r="L299" i="48"/>
  <c r="K299" i="48"/>
  <c r="J299" i="48"/>
  <c r="N296" i="48"/>
  <c r="M296" i="48"/>
  <c r="L296" i="48"/>
  <c r="K296" i="48"/>
  <c r="J296" i="48"/>
  <c r="N291" i="48"/>
  <c r="M291" i="48"/>
  <c r="L291" i="48"/>
  <c r="K291" i="48"/>
  <c r="J291" i="48"/>
  <c r="N286" i="48"/>
  <c r="M286" i="48"/>
  <c r="L286" i="48"/>
  <c r="K286" i="48"/>
  <c r="J286" i="48"/>
  <c r="N280" i="48"/>
  <c r="M280" i="48"/>
  <c r="L280" i="48"/>
  <c r="K280" i="48"/>
  <c r="J280" i="48"/>
  <c r="N276" i="48"/>
  <c r="M276" i="48"/>
  <c r="L276" i="48"/>
  <c r="K276" i="48"/>
  <c r="J276" i="48"/>
  <c r="N269" i="48"/>
  <c r="M269" i="48"/>
  <c r="L269" i="48"/>
  <c r="K269" i="48"/>
  <c r="J269" i="48"/>
  <c r="N266" i="48"/>
  <c r="M266" i="48"/>
  <c r="L266" i="48"/>
  <c r="K266" i="48"/>
  <c r="J266" i="48"/>
  <c r="N263" i="48"/>
  <c r="M263" i="48"/>
  <c r="L263" i="48"/>
  <c r="K263" i="48"/>
  <c r="J263" i="48"/>
  <c r="N260" i="48"/>
  <c r="M260" i="48"/>
  <c r="J260" i="48"/>
  <c r="N258" i="48"/>
  <c r="M258" i="48"/>
  <c r="L258" i="48"/>
  <c r="K258" i="48"/>
  <c r="J258" i="48"/>
  <c r="N254" i="48"/>
  <c r="M254" i="48"/>
  <c r="L254" i="48"/>
  <c r="K254" i="48"/>
  <c r="J254" i="48"/>
  <c r="N251" i="48"/>
  <c r="M251" i="48"/>
  <c r="L251" i="48"/>
  <c r="K251" i="48"/>
  <c r="J251" i="48"/>
  <c r="N246" i="48"/>
  <c r="M246" i="48"/>
  <c r="L246" i="48"/>
  <c r="K246" i="48"/>
  <c r="J246" i="48"/>
  <c r="N241" i="48"/>
  <c r="M241" i="48"/>
  <c r="L241" i="48"/>
  <c r="K241" i="48"/>
  <c r="J241" i="48"/>
  <c r="N239" i="48"/>
  <c r="M239" i="48"/>
  <c r="J239" i="48"/>
  <c r="N232" i="48"/>
  <c r="M232" i="48"/>
  <c r="L232" i="48"/>
  <c r="K232" i="48"/>
  <c r="J232" i="48"/>
  <c r="N228" i="48"/>
  <c r="M228" i="48"/>
  <c r="L228" i="48"/>
  <c r="K228" i="48"/>
  <c r="J228" i="48"/>
  <c r="N223" i="48"/>
  <c r="M223" i="48"/>
  <c r="L223" i="48"/>
  <c r="K223" i="48"/>
  <c r="J223" i="48"/>
  <c r="N220" i="48"/>
  <c r="M220" i="48"/>
  <c r="L220" i="48"/>
  <c r="K220" i="48"/>
  <c r="J220" i="48"/>
  <c r="N215" i="48"/>
  <c r="M215" i="48"/>
  <c r="L215" i="48"/>
  <c r="K215" i="48"/>
  <c r="J215" i="48"/>
  <c r="N212" i="48"/>
  <c r="M212" i="48"/>
  <c r="L212" i="48"/>
  <c r="K212" i="48"/>
  <c r="J212" i="48"/>
  <c r="N209" i="48"/>
  <c r="M209" i="48"/>
  <c r="L209" i="48"/>
  <c r="K209" i="48"/>
  <c r="J209" i="48"/>
  <c r="N207" i="48"/>
  <c r="M207" i="48"/>
  <c r="L207" i="48"/>
  <c r="K207" i="48"/>
  <c r="J207" i="48"/>
  <c r="N202" i="48"/>
  <c r="M202" i="48"/>
  <c r="L202" i="48"/>
  <c r="K202" i="48"/>
  <c r="J202" i="48"/>
  <c r="N197" i="48"/>
  <c r="M197" i="48"/>
  <c r="L197" i="48"/>
  <c r="K197" i="48"/>
  <c r="J197" i="48"/>
  <c r="N192" i="48"/>
  <c r="M192" i="48"/>
  <c r="L192" i="48"/>
  <c r="K192" i="48"/>
  <c r="J192" i="48"/>
  <c r="N187" i="48"/>
  <c r="M187" i="48"/>
  <c r="L187" i="48"/>
  <c r="K187" i="48"/>
  <c r="J187" i="48"/>
  <c r="N182" i="48"/>
  <c r="M182" i="48"/>
  <c r="L182" i="48"/>
  <c r="K182" i="48"/>
  <c r="J182" i="48"/>
  <c r="N177" i="48"/>
  <c r="M177" i="48"/>
  <c r="L177" i="48"/>
  <c r="K177" i="48"/>
  <c r="J177" i="48"/>
  <c r="N172" i="48"/>
  <c r="M172" i="48"/>
  <c r="J172" i="48"/>
  <c r="N167" i="48"/>
  <c r="M167" i="48"/>
  <c r="L167" i="48"/>
  <c r="K167" i="48"/>
  <c r="J167" i="48"/>
  <c r="N163" i="48"/>
  <c r="M163" i="48"/>
  <c r="L163" i="48"/>
  <c r="K163" i="48"/>
  <c r="J163" i="48"/>
  <c r="N158" i="48"/>
  <c r="M158" i="48"/>
  <c r="J158" i="48"/>
  <c r="N152" i="48"/>
  <c r="M152" i="48"/>
  <c r="L152" i="48"/>
  <c r="K152" i="48"/>
  <c r="J152" i="48"/>
  <c r="N146" i="48"/>
  <c r="M146" i="48"/>
  <c r="L146" i="48"/>
  <c r="K146" i="48"/>
  <c r="J146" i="48"/>
  <c r="N141" i="48"/>
  <c r="M141" i="48"/>
  <c r="J141" i="48"/>
  <c r="N135" i="48"/>
  <c r="M135" i="48"/>
  <c r="L135" i="48"/>
  <c r="K135" i="48"/>
  <c r="J135" i="48"/>
  <c r="N130" i="48"/>
  <c r="M130" i="48"/>
  <c r="L130" i="48"/>
  <c r="K130" i="48"/>
  <c r="J130" i="48"/>
  <c r="N125" i="48"/>
  <c r="M125" i="48"/>
  <c r="L125" i="48"/>
  <c r="K125" i="48"/>
  <c r="J125" i="48"/>
  <c r="N120" i="48"/>
  <c r="M120" i="48"/>
  <c r="L120" i="48"/>
  <c r="K120" i="48"/>
  <c r="J120" i="48"/>
  <c r="N115" i="48"/>
  <c r="M115" i="48"/>
  <c r="L115" i="48"/>
  <c r="K115" i="48"/>
  <c r="J115" i="48"/>
  <c r="N110" i="48"/>
  <c r="M110" i="48"/>
  <c r="L110" i="48"/>
  <c r="K110" i="48"/>
  <c r="J110" i="48"/>
  <c r="N104" i="48"/>
  <c r="M104" i="48"/>
  <c r="L104" i="48"/>
  <c r="K104" i="48"/>
  <c r="J104" i="48"/>
  <c r="N98" i="48"/>
  <c r="M98" i="48"/>
  <c r="L98" i="48"/>
  <c r="K98" i="48"/>
  <c r="J98" i="48"/>
  <c r="N94" i="48"/>
  <c r="M94" i="48"/>
  <c r="L94" i="48"/>
  <c r="K94" i="48"/>
  <c r="J94" i="48"/>
  <c r="N91" i="48"/>
  <c r="M91" i="48"/>
  <c r="L91" i="48"/>
  <c r="K91" i="48"/>
  <c r="J91" i="48"/>
  <c r="N89" i="48"/>
  <c r="M89" i="48"/>
  <c r="L89" i="48"/>
  <c r="K89" i="48"/>
  <c r="J89" i="48"/>
  <c r="N86" i="48"/>
  <c r="M86" i="48"/>
  <c r="L86" i="48"/>
  <c r="K86" i="48"/>
  <c r="J86" i="48"/>
  <c r="N83" i="48"/>
  <c r="M83" i="48"/>
  <c r="L83" i="48"/>
  <c r="K83" i="48"/>
  <c r="J83" i="48"/>
  <c r="N81" i="48"/>
  <c r="M81" i="48"/>
  <c r="L81" i="48"/>
  <c r="K81" i="48"/>
  <c r="J81" i="48"/>
  <c r="N78" i="48"/>
  <c r="M78" i="48"/>
  <c r="L78" i="48"/>
  <c r="K78" i="48"/>
  <c r="J78" i="48"/>
  <c r="N75" i="48"/>
  <c r="M75" i="48"/>
  <c r="L75" i="48"/>
  <c r="K75" i="48"/>
  <c r="J75" i="48"/>
  <c r="N72" i="48"/>
  <c r="M72" i="48"/>
  <c r="L72" i="48"/>
  <c r="K72" i="48"/>
  <c r="J72" i="48"/>
  <c r="N69" i="48"/>
  <c r="M69" i="48"/>
  <c r="L69" i="48"/>
  <c r="K69" i="48"/>
  <c r="J69" i="48"/>
  <c r="N66" i="48"/>
  <c r="M66" i="48"/>
  <c r="L66" i="48"/>
  <c r="K66" i="48"/>
  <c r="J66" i="48"/>
  <c r="N63" i="48"/>
  <c r="M63" i="48"/>
  <c r="L63" i="48"/>
  <c r="K63" i="48"/>
  <c r="J63" i="48"/>
  <c r="N60" i="48"/>
  <c r="M60" i="48"/>
  <c r="L60" i="48"/>
  <c r="K60" i="48"/>
  <c r="J60" i="48"/>
  <c r="N56" i="48"/>
  <c r="M56" i="48"/>
  <c r="L56" i="48"/>
  <c r="K56" i="48"/>
  <c r="J56" i="48"/>
  <c r="N54" i="48"/>
  <c r="M54" i="48"/>
  <c r="L54" i="48"/>
  <c r="K54" i="48"/>
  <c r="J54" i="48"/>
  <c r="N51" i="48"/>
  <c r="M51" i="48"/>
  <c r="L51" i="48"/>
  <c r="K51" i="48"/>
  <c r="J51" i="48"/>
  <c r="N48" i="48"/>
  <c r="M48" i="48"/>
  <c r="L48" i="48"/>
  <c r="K48" i="48"/>
  <c r="J48" i="48"/>
  <c r="N45" i="48"/>
  <c r="M45" i="48"/>
  <c r="L45" i="48"/>
  <c r="K45" i="48"/>
  <c r="J45" i="48"/>
  <c r="N43" i="48"/>
  <c r="M43" i="48"/>
  <c r="L43" i="48"/>
  <c r="K43" i="48"/>
  <c r="J43" i="48"/>
  <c r="N41" i="48"/>
  <c r="M41" i="48"/>
  <c r="L41" i="48"/>
  <c r="K41" i="48"/>
  <c r="J41" i="48"/>
  <c r="N39" i="48"/>
  <c r="M39" i="48"/>
  <c r="L39" i="48"/>
  <c r="K39" i="48"/>
  <c r="J39" i="48"/>
  <c r="N36" i="48"/>
  <c r="M36" i="48"/>
  <c r="L36" i="48"/>
  <c r="K36" i="48"/>
  <c r="J36" i="48"/>
  <c r="N33" i="48"/>
  <c r="M33" i="48"/>
  <c r="L33" i="48"/>
  <c r="K33" i="48"/>
  <c r="J33" i="48"/>
  <c r="N30" i="48"/>
  <c r="M30" i="48"/>
  <c r="L30" i="48"/>
  <c r="K30" i="48"/>
  <c r="J30" i="48"/>
  <c r="N27" i="48"/>
  <c r="M27" i="48"/>
  <c r="L27" i="48"/>
  <c r="K27" i="48"/>
  <c r="J27" i="48"/>
  <c r="N24" i="48"/>
  <c r="M24" i="48"/>
  <c r="L24" i="48"/>
  <c r="K24" i="48"/>
  <c r="J24" i="48"/>
  <c r="N20" i="48"/>
  <c r="M20" i="48"/>
  <c r="L20" i="48"/>
  <c r="K20" i="48"/>
  <c r="J20" i="48"/>
  <c r="N17" i="48"/>
  <c r="M17" i="48"/>
  <c r="L17" i="48"/>
  <c r="K17" i="48"/>
  <c r="J17" i="48"/>
  <c r="N13" i="48"/>
  <c r="M13" i="48"/>
  <c r="J13" i="48"/>
  <c r="O263" i="48" l="1"/>
  <c r="O254" i="48"/>
  <c r="O223" i="48"/>
  <c r="O215" i="48"/>
  <c r="O94" i="48"/>
  <c r="O75" i="48"/>
  <c r="O66" i="48"/>
  <c r="O48" i="48"/>
  <c r="O20" i="48"/>
  <c r="O89" i="48"/>
  <c r="O33" i="48"/>
  <c r="O365" i="48"/>
  <c r="O312" i="48"/>
  <c r="O266" i="48"/>
  <c r="O78" i="48"/>
  <c r="O69" i="48"/>
  <c r="O60" i="48"/>
  <c r="O51" i="48"/>
  <c r="O39" i="48"/>
  <c r="O30" i="48"/>
  <c r="O349" i="48"/>
  <c r="O304" i="48"/>
  <c r="O296" i="48"/>
  <c r="O280" i="48"/>
  <c r="O276" i="48"/>
  <c r="O232" i="48"/>
  <c r="O163" i="48"/>
  <c r="O187" i="48"/>
  <c r="O334" i="48"/>
  <c r="O207" i="48"/>
  <c r="O192" i="48"/>
  <c r="O177" i="48"/>
  <c r="O141" i="48"/>
  <c r="O125" i="48"/>
  <c r="O104" i="48"/>
  <c r="O36" i="48"/>
  <c r="O27" i="48"/>
  <c r="O355" i="48"/>
  <c r="O344" i="48"/>
  <c r="O339" i="48"/>
  <c r="O318" i="48"/>
  <c r="O309" i="48"/>
  <c r="O299" i="48"/>
  <c r="O286" i="48"/>
  <c r="O269" i="48"/>
  <c r="O246" i="48"/>
  <c r="O239" i="48"/>
  <c r="O212" i="48"/>
  <c r="O197" i="48"/>
  <c r="O182" i="48"/>
  <c r="O167" i="48"/>
  <c r="O158" i="48"/>
  <c r="O146" i="48"/>
  <c r="O115" i="48"/>
  <c r="O110" i="48"/>
  <c r="O81" i="48"/>
  <c r="O72" i="48"/>
  <c r="O63" i="48"/>
  <c r="O54" i="48"/>
  <c r="O17" i="48"/>
  <c r="O360" i="48"/>
  <c r="O323" i="48"/>
  <c r="O130" i="48"/>
  <c r="O291" i="48"/>
  <c r="O258" i="48"/>
  <c r="O251" i="48"/>
  <c r="O228" i="48"/>
  <c r="O220" i="48"/>
  <c r="O152" i="48"/>
  <c r="O98" i="48"/>
  <c r="O24" i="48"/>
  <c r="O328" i="48"/>
  <c r="O202" i="48"/>
  <c r="O172" i="48"/>
  <c r="O135" i="48"/>
  <c r="O120" i="48"/>
  <c r="O86" i="48"/>
  <c r="I14" i="48"/>
  <c r="I15" i="48"/>
  <c r="I16" i="48"/>
  <c r="I18" i="48"/>
  <c r="I19" i="48"/>
  <c r="I21" i="48"/>
  <c r="I22" i="48"/>
  <c r="I23" i="48"/>
  <c r="I25" i="48"/>
  <c r="I26" i="48"/>
  <c r="I28" i="48"/>
  <c r="I29" i="48"/>
  <c r="I31" i="48"/>
  <c r="I32" i="48"/>
  <c r="I34" i="48"/>
  <c r="I35" i="48"/>
  <c r="I37" i="48"/>
  <c r="I38" i="48"/>
  <c r="I40" i="48"/>
  <c r="I41" i="48" s="1"/>
  <c r="I42" i="48"/>
  <c r="I43" i="48" s="1"/>
  <c r="I44" i="48"/>
  <c r="I45" i="48" s="1"/>
  <c r="I46" i="48"/>
  <c r="I47" i="48"/>
  <c r="I49" i="48"/>
  <c r="I50" i="48"/>
  <c r="I52" i="48"/>
  <c r="I53" i="48"/>
  <c r="I55" i="48"/>
  <c r="I56" i="48" s="1"/>
  <c r="I57" i="48"/>
  <c r="I58" i="48"/>
  <c r="I59" i="48"/>
  <c r="I61" i="48"/>
  <c r="I62" i="48"/>
  <c r="I64" i="48"/>
  <c r="I65" i="48"/>
  <c r="I67" i="48"/>
  <c r="I68" i="48"/>
  <c r="I70" i="48"/>
  <c r="I71" i="48"/>
  <c r="I73" i="48"/>
  <c r="I74" i="48"/>
  <c r="I76" i="48"/>
  <c r="I77" i="48"/>
  <c r="I79" i="48"/>
  <c r="I80" i="48"/>
  <c r="I82" i="48"/>
  <c r="I83" i="48" s="1"/>
  <c r="I84" i="48"/>
  <c r="I85" i="48"/>
  <c r="I87" i="48"/>
  <c r="I88" i="48"/>
  <c r="I90" i="48"/>
  <c r="I91" i="48" s="1"/>
  <c r="I92" i="48"/>
  <c r="I93" i="48"/>
  <c r="I95" i="48"/>
  <c r="I96" i="48"/>
  <c r="I97" i="48"/>
  <c r="I99" i="48"/>
  <c r="I100" i="48"/>
  <c r="I101" i="48"/>
  <c r="I102" i="48"/>
  <c r="I103" i="48"/>
  <c r="I105" i="48"/>
  <c r="I106" i="48"/>
  <c r="I107" i="48"/>
  <c r="I108" i="48"/>
  <c r="I109" i="48"/>
  <c r="I111" i="48"/>
  <c r="I112" i="48"/>
  <c r="I113" i="48"/>
  <c r="I114" i="48"/>
  <c r="I116" i="48"/>
  <c r="I117" i="48"/>
  <c r="I118" i="48"/>
  <c r="I119" i="48"/>
  <c r="I121" i="48"/>
  <c r="I122" i="48"/>
  <c r="I123" i="48"/>
  <c r="I124" i="48"/>
  <c r="I126" i="48"/>
  <c r="I127" i="48"/>
  <c r="I128" i="48"/>
  <c r="I129" i="48"/>
  <c r="I131" i="48"/>
  <c r="I132" i="48"/>
  <c r="I133" i="48"/>
  <c r="I134" i="48"/>
  <c r="I136" i="48"/>
  <c r="I137" i="48"/>
  <c r="I138" i="48"/>
  <c r="I139" i="48"/>
  <c r="I142" i="48"/>
  <c r="I143" i="48"/>
  <c r="I144" i="48"/>
  <c r="I145" i="48"/>
  <c r="I147" i="48"/>
  <c r="I148" i="48"/>
  <c r="I149" i="48"/>
  <c r="I150" i="48"/>
  <c r="I151" i="48"/>
  <c r="I153" i="48"/>
  <c r="I154" i="48"/>
  <c r="I155" i="48"/>
  <c r="I156" i="48"/>
  <c r="I159" i="48"/>
  <c r="I160" i="48"/>
  <c r="I161" i="48"/>
  <c r="I162" i="48"/>
  <c r="I164" i="48"/>
  <c r="I165" i="48"/>
  <c r="I166" i="48"/>
  <c r="I168" i="48"/>
  <c r="I169" i="48"/>
  <c r="I170" i="48"/>
  <c r="I173" i="48"/>
  <c r="I174" i="48"/>
  <c r="I175" i="48"/>
  <c r="I176" i="48"/>
  <c r="I178" i="48"/>
  <c r="I179" i="48"/>
  <c r="I180" i="48"/>
  <c r="I181" i="48"/>
  <c r="I183" i="48"/>
  <c r="I184" i="48"/>
  <c r="I185" i="48"/>
  <c r="I186" i="48"/>
  <c r="I188" i="48"/>
  <c r="I189" i="48"/>
  <c r="I190" i="48"/>
  <c r="I191" i="48"/>
  <c r="I193" i="48"/>
  <c r="I194" i="48"/>
  <c r="I195" i="48"/>
  <c r="I196" i="48"/>
  <c r="I198" i="48"/>
  <c r="I199" i="48"/>
  <c r="I200" i="48"/>
  <c r="I201" i="48"/>
  <c r="I203" i="48"/>
  <c r="I204" i="48"/>
  <c r="I205" i="48"/>
  <c r="I206" i="48"/>
  <c r="I208" i="48"/>
  <c r="I209" i="48" s="1"/>
  <c r="I210" i="48"/>
  <c r="I211" i="48"/>
  <c r="I213" i="48"/>
  <c r="I214" i="48"/>
  <c r="I216" i="48"/>
  <c r="I217" i="48"/>
  <c r="I218" i="48"/>
  <c r="I219" i="48"/>
  <c r="I221" i="48"/>
  <c r="I222" i="48"/>
  <c r="I224" i="48"/>
  <c r="I225" i="48"/>
  <c r="I226" i="48"/>
  <c r="I227" i="48"/>
  <c r="I229" i="48"/>
  <c r="I230" i="48"/>
  <c r="I231" i="48"/>
  <c r="I233" i="48"/>
  <c r="I234" i="48"/>
  <c r="I235" i="48"/>
  <c r="I236" i="48"/>
  <c r="I237" i="48"/>
  <c r="I240" i="48"/>
  <c r="I241" i="48" s="1"/>
  <c r="I242" i="48"/>
  <c r="I243" i="48"/>
  <c r="I244" i="48"/>
  <c r="I245" i="48"/>
  <c r="I247" i="48"/>
  <c r="I248" i="48"/>
  <c r="I249" i="48"/>
  <c r="I250" i="48"/>
  <c r="I252" i="48"/>
  <c r="I253" i="48"/>
  <c r="I255" i="48"/>
  <c r="I256" i="48"/>
  <c r="I257" i="48"/>
  <c r="I261" i="48"/>
  <c r="I262" i="48"/>
  <c r="I264" i="48"/>
  <c r="I265" i="48"/>
  <c r="I267" i="48"/>
  <c r="I268" i="48"/>
  <c r="I270" i="48"/>
  <c r="I271" i="48"/>
  <c r="I272" i="48"/>
  <c r="I273" i="48"/>
  <c r="I274" i="48"/>
  <c r="I275" i="48"/>
  <c r="I277" i="48"/>
  <c r="I278" i="48"/>
  <c r="I279" i="48"/>
  <c r="I281" i="48"/>
  <c r="I282" i="48"/>
  <c r="I283" i="48"/>
  <c r="I284" i="48"/>
  <c r="I285" i="48"/>
  <c r="I287" i="48"/>
  <c r="I288" i="48"/>
  <c r="I289" i="48"/>
  <c r="I290" i="48"/>
  <c r="I292" i="48"/>
  <c r="I293" i="48"/>
  <c r="I294" i="48"/>
  <c r="I295" i="48"/>
  <c r="I297" i="48"/>
  <c r="I298" i="48"/>
  <c r="I300" i="48"/>
  <c r="I301" i="48"/>
  <c r="I302" i="48"/>
  <c r="I303" i="48"/>
  <c r="I305" i="48"/>
  <c r="I306" i="48"/>
  <c r="I307" i="48"/>
  <c r="I308" i="48"/>
  <c r="I310" i="48"/>
  <c r="I311" i="48"/>
  <c r="I313" i="48"/>
  <c r="I314" i="48"/>
  <c r="I315" i="48"/>
  <c r="I316" i="48"/>
  <c r="I317" i="48"/>
  <c r="I319" i="48"/>
  <c r="I320" i="48"/>
  <c r="I321" i="48"/>
  <c r="I322" i="48"/>
  <c r="I324" i="48"/>
  <c r="I325" i="48"/>
  <c r="I326" i="48"/>
  <c r="I327" i="48"/>
  <c r="I329" i="48"/>
  <c r="I330" i="48"/>
  <c r="I331" i="48"/>
  <c r="I332" i="48"/>
  <c r="I333" i="48"/>
  <c r="I335" i="48"/>
  <c r="I336" i="48"/>
  <c r="I337" i="48"/>
  <c r="I338" i="48"/>
  <c r="I340" i="48"/>
  <c r="I341" i="48"/>
  <c r="I342" i="48"/>
  <c r="I343" i="48"/>
  <c r="I345" i="48"/>
  <c r="I346" i="48"/>
  <c r="I347" i="48"/>
  <c r="I348" i="48"/>
  <c r="I350" i="48"/>
  <c r="I351" i="48"/>
  <c r="I352" i="48"/>
  <c r="I353" i="48"/>
  <c r="I354" i="48"/>
  <c r="I356" i="48"/>
  <c r="I357" i="48"/>
  <c r="I358" i="48"/>
  <c r="I359" i="48"/>
  <c r="I361" i="48"/>
  <c r="I362" i="48" s="1"/>
  <c r="I363" i="48"/>
  <c r="I364" i="48"/>
  <c r="I312" i="48" l="1"/>
  <c r="I365" i="48"/>
  <c r="I266" i="48"/>
  <c r="I334" i="48"/>
  <c r="I246" i="48"/>
  <c r="I197" i="48"/>
  <c r="I182" i="48"/>
  <c r="I94" i="48"/>
  <c r="I75" i="48"/>
  <c r="I66" i="48"/>
  <c r="I48" i="48"/>
  <c r="I20" i="48"/>
  <c r="I223" i="48"/>
  <c r="I215" i="48"/>
  <c r="I89" i="48"/>
  <c r="I33" i="48"/>
  <c r="I309" i="48"/>
  <c r="I344" i="48"/>
  <c r="I232" i="48"/>
  <c r="I328" i="48"/>
  <c r="I254" i="48"/>
  <c r="I207" i="48"/>
  <c r="I192" i="48"/>
  <c r="I177" i="48"/>
  <c r="I167" i="48"/>
  <c r="I98" i="48"/>
  <c r="I78" i="48"/>
  <c r="I69" i="48"/>
  <c r="I51" i="48"/>
  <c r="I24" i="48"/>
  <c r="I349" i="48"/>
  <c r="I304" i="48"/>
  <c r="I296" i="48"/>
  <c r="I280" i="48"/>
  <c r="I276" i="48"/>
  <c r="I263" i="48"/>
  <c r="I212" i="48"/>
  <c r="I152" i="48"/>
  <c r="I135" i="48"/>
  <c r="I120" i="48"/>
  <c r="I86" i="48"/>
  <c r="I60" i="48"/>
  <c r="I39" i="48"/>
  <c r="I30" i="48"/>
  <c r="I339" i="48"/>
  <c r="I318" i="48"/>
  <c r="I299" i="48"/>
  <c r="I269" i="48"/>
  <c r="I228" i="48"/>
  <c r="I220" i="48"/>
  <c r="I125" i="48"/>
  <c r="I104" i="48"/>
  <c r="I36" i="48"/>
  <c r="I27" i="48"/>
  <c r="I360" i="48"/>
  <c r="I323" i="48"/>
  <c r="I286" i="48"/>
  <c r="I258" i="48"/>
  <c r="I251" i="48"/>
  <c r="I202" i="48"/>
  <c r="I187" i="48"/>
  <c r="I163" i="48"/>
  <c r="I110" i="48"/>
  <c r="I81" i="48"/>
  <c r="I72" i="48"/>
  <c r="I63" i="48"/>
  <c r="I54" i="48"/>
  <c r="I355" i="48"/>
  <c r="I291" i="48"/>
  <c r="I146" i="48"/>
  <c r="I130" i="48"/>
  <c r="I115" i="48"/>
  <c r="I17" i="48"/>
  <c r="I70" i="31"/>
  <c r="I69" i="31"/>
  <c r="I68" i="31"/>
  <c r="I67" i="31"/>
  <c r="I66" i="31"/>
  <c r="I65" i="31"/>
  <c r="I64" i="31"/>
  <c r="I63" i="31"/>
  <c r="I62" i="31"/>
  <c r="F16" i="47"/>
  <c r="G16" i="47"/>
  <c r="H16" i="47"/>
  <c r="J16" i="47"/>
  <c r="K16" i="47"/>
  <c r="L16" i="47"/>
  <c r="M16" i="47"/>
  <c r="O16" i="47"/>
  <c r="P16" i="47"/>
  <c r="Q16" i="47"/>
  <c r="R16" i="47"/>
  <c r="V16" i="47"/>
  <c r="X16" i="47"/>
  <c r="Z16" i="47"/>
  <c r="AA16" i="47"/>
  <c r="AB16" i="47"/>
  <c r="AC16" i="47"/>
  <c r="AG16" i="47"/>
  <c r="AJ16" i="47"/>
  <c r="F17" i="47"/>
  <c r="H17" i="47"/>
  <c r="J17" i="47"/>
  <c r="K17" i="47"/>
  <c r="L17" i="47"/>
  <c r="M17" i="47"/>
  <c r="O17" i="47"/>
  <c r="P17" i="47"/>
  <c r="Q17" i="47"/>
  <c r="R17" i="47"/>
  <c r="V17" i="47"/>
  <c r="X17" i="47"/>
  <c r="Z17" i="47"/>
  <c r="AA17" i="47"/>
  <c r="AB17" i="47"/>
  <c r="AC17" i="47"/>
  <c r="AG17" i="47"/>
  <c r="AJ17" i="47"/>
  <c r="M107" i="41"/>
  <c r="M102" i="41"/>
  <c r="M98" i="41"/>
  <c r="M95" i="41"/>
  <c r="M88" i="41"/>
  <c r="M83" i="41"/>
  <c r="M77" i="41"/>
  <c r="M74" i="41"/>
  <c r="M70" i="41"/>
  <c r="M67" i="41"/>
  <c r="M64" i="41"/>
  <c r="M59" i="41"/>
  <c r="M54" i="41"/>
  <c r="M51" i="41"/>
  <c r="M49" i="41"/>
  <c r="M43" i="41"/>
  <c r="M38" i="41"/>
  <c r="M33" i="41"/>
  <c r="M28" i="41"/>
  <c r="M26" i="41"/>
  <c r="M20" i="41"/>
  <c r="M15" i="41"/>
  <c r="M129" i="40"/>
  <c r="M126" i="40"/>
  <c r="M122" i="40"/>
  <c r="M119" i="40"/>
  <c r="M114" i="40"/>
  <c r="M109" i="40"/>
  <c r="M104" i="40"/>
  <c r="M101" i="40"/>
  <c r="M98" i="40"/>
  <c r="M93" i="40"/>
  <c r="M90" i="40"/>
  <c r="M87" i="40"/>
  <c r="M85" i="40"/>
  <c r="M81" i="40"/>
  <c r="M78" i="40"/>
  <c r="M74" i="40"/>
  <c r="M71" i="40"/>
  <c r="M66" i="40"/>
  <c r="M61" i="40"/>
  <c r="M56" i="40"/>
  <c r="M51" i="40"/>
  <c r="M46" i="40"/>
  <c r="M44" i="40"/>
  <c r="M38" i="40"/>
  <c r="M33" i="40"/>
  <c r="M28" i="40"/>
  <c r="M22" i="40"/>
  <c r="M20" i="40"/>
  <c r="M17" i="40"/>
  <c r="M14" i="40"/>
  <c r="Y59" i="31"/>
  <c r="V59" i="31"/>
  <c r="O59" i="31"/>
  <c r="Y81" i="30"/>
  <c r="V81" i="30"/>
  <c r="O81" i="30"/>
  <c r="M96" i="39"/>
  <c r="M92" i="39"/>
  <c r="M89" i="39"/>
  <c r="M84" i="39"/>
  <c r="M79" i="39"/>
  <c r="M74" i="39"/>
  <c r="M69" i="39"/>
  <c r="M64" i="39"/>
  <c r="M59" i="39"/>
  <c r="M54" i="39"/>
  <c r="M49" i="39"/>
  <c r="M47" i="39"/>
  <c r="M42" i="39"/>
  <c r="M39" i="39"/>
  <c r="M37" i="39"/>
  <c r="M35" i="39"/>
  <c r="M30" i="39"/>
  <c r="M25" i="39"/>
  <c r="M21" i="39"/>
  <c r="M17" i="39"/>
  <c r="M13" i="39"/>
  <c r="M62" i="31"/>
  <c r="M63" i="31"/>
  <c r="M64" i="31"/>
  <c r="M65" i="31"/>
  <c r="M66" i="31"/>
  <c r="M67" i="31"/>
  <c r="M68" i="31"/>
  <c r="M69" i="31"/>
  <c r="M70" i="31"/>
  <c r="M71" i="31"/>
  <c r="M108" i="41" l="1"/>
  <c r="F21" i="47" s="1"/>
  <c r="M130" i="40"/>
  <c r="F20" i="47" s="1"/>
  <c r="M97" i="39"/>
  <c r="F19" i="47" s="1"/>
  <c r="M61" i="31"/>
  <c r="AQ238" i="32"/>
  <c r="AJ238" i="32"/>
  <c r="AI238" i="32"/>
  <c r="AH238" i="32"/>
  <c r="AG238" i="32"/>
  <c r="AF238" i="32"/>
  <c r="AE238" i="32"/>
  <c r="AC238" i="32"/>
  <c r="X238" i="32"/>
  <c r="W238" i="32"/>
  <c r="V238" i="32"/>
  <c r="T238" i="32"/>
  <c r="S238" i="32"/>
  <c r="R238" i="32"/>
  <c r="Q238" i="32"/>
  <c r="P238" i="32"/>
  <c r="N238" i="32"/>
  <c r="M238" i="32"/>
  <c r="J238" i="32"/>
  <c r="AQ237" i="32"/>
  <c r="AJ237" i="32"/>
  <c r="AI237" i="32"/>
  <c r="AH237" i="32"/>
  <c r="AG237" i="32"/>
  <c r="AF237" i="32"/>
  <c r="AE237" i="32"/>
  <c r="AC237" i="32"/>
  <c r="X237" i="32"/>
  <c r="W237" i="32"/>
  <c r="V237" i="32"/>
  <c r="T237" i="32"/>
  <c r="S237" i="32"/>
  <c r="R237" i="32"/>
  <c r="Q237" i="32"/>
  <c r="P237" i="32"/>
  <c r="N237" i="32"/>
  <c r="M237" i="32"/>
  <c r="J237" i="32"/>
  <c r="AQ236" i="32"/>
  <c r="AJ236" i="32"/>
  <c r="AI236" i="32"/>
  <c r="AH236" i="32"/>
  <c r="AG236" i="32"/>
  <c r="AF236" i="32"/>
  <c r="AE236" i="32"/>
  <c r="AC236" i="32"/>
  <c r="X236" i="32"/>
  <c r="W236" i="32"/>
  <c r="V236" i="32"/>
  <c r="T236" i="32"/>
  <c r="S236" i="32"/>
  <c r="R236" i="32"/>
  <c r="Q236" i="32"/>
  <c r="P236" i="32"/>
  <c r="N236" i="32"/>
  <c r="M236" i="32"/>
  <c r="J236" i="32"/>
  <c r="AR235" i="32"/>
  <c r="AQ235" i="32"/>
  <c r="AP235" i="32"/>
  <c r="AO235" i="32"/>
  <c r="AN235" i="32"/>
  <c r="AM235" i="32"/>
  <c r="AL235" i="32"/>
  <c r="AK235" i="32"/>
  <c r="AJ235" i="32"/>
  <c r="AI235" i="32"/>
  <c r="AH235" i="32"/>
  <c r="AG235" i="32"/>
  <c r="AF235" i="32"/>
  <c r="AE235" i="32"/>
  <c r="AD235" i="32"/>
  <c r="AC235" i="32"/>
  <c r="AB235" i="32"/>
  <c r="AA235" i="32"/>
  <c r="Z235" i="32"/>
  <c r="Y235" i="32"/>
  <c r="X235" i="32"/>
  <c r="W235" i="32"/>
  <c r="V235" i="32"/>
  <c r="U235" i="32"/>
  <c r="T235" i="32"/>
  <c r="S235" i="32"/>
  <c r="R235" i="32"/>
  <c r="Q235" i="32"/>
  <c r="P235" i="32"/>
  <c r="O235" i="32"/>
  <c r="N235" i="32"/>
  <c r="M235" i="32"/>
  <c r="L235" i="32"/>
  <c r="K235" i="32"/>
  <c r="J235" i="32"/>
  <c r="I235" i="32"/>
  <c r="AQ234" i="32"/>
  <c r="AJ234" i="32"/>
  <c r="AI234" i="32"/>
  <c r="AH234" i="32"/>
  <c r="AG234" i="32"/>
  <c r="AF234" i="32"/>
  <c r="AE234" i="32"/>
  <c r="AC234" i="32"/>
  <c r="X234" i="32"/>
  <c r="W234" i="32"/>
  <c r="V234" i="32"/>
  <c r="T234" i="32"/>
  <c r="S234" i="32"/>
  <c r="R234" i="32"/>
  <c r="Q234" i="32"/>
  <c r="P234" i="32"/>
  <c r="N234" i="32"/>
  <c r="M234" i="32"/>
  <c r="J234" i="32"/>
  <c r="AR233" i="32"/>
  <c r="AQ233" i="32"/>
  <c r="AP233" i="32"/>
  <c r="AO233" i="32"/>
  <c r="AN233" i="32"/>
  <c r="AM233" i="32"/>
  <c r="AL233" i="32"/>
  <c r="AK233" i="32"/>
  <c r="AJ233" i="32"/>
  <c r="AI233" i="32"/>
  <c r="AH233" i="32"/>
  <c r="AG233" i="32"/>
  <c r="AF233" i="32"/>
  <c r="AE233" i="32"/>
  <c r="AD233" i="32"/>
  <c r="AC233" i="32"/>
  <c r="AB233" i="32"/>
  <c r="AA233" i="32"/>
  <c r="Z233" i="32"/>
  <c r="Y233" i="32"/>
  <c r="X233" i="32"/>
  <c r="W233" i="32"/>
  <c r="V233" i="32"/>
  <c r="U233" i="32"/>
  <c r="T233" i="32"/>
  <c r="S233" i="32"/>
  <c r="R233" i="32"/>
  <c r="Q233" i="32"/>
  <c r="P233" i="32"/>
  <c r="O233" i="32"/>
  <c r="N233" i="32"/>
  <c r="M233" i="32"/>
  <c r="L233" i="32"/>
  <c r="K233" i="32"/>
  <c r="J233" i="32"/>
  <c r="I233" i="32"/>
  <c r="AQ232" i="32"/>
  <c r="AJ232" i="32"/>
  <c r="AI232" i="32"/>
  <c r="AH232" i="32"/>
  <c r="AG232" i="32"/>
  <c r="AE232" i="32"/>
  <c r="AC232" i="32"/>
  <c r="X232" i="32"/>
  <c r="W232" i="32"/>
  <c r="V232" i="32"/>
  <c r="T232" i="32"/>
  <c r="S232" i="32"/>
  <c r="R232" i="32"/>
  <c r="Q232" i="32"/>
  <c r="N232" i="32"/>
  <c r="M232" i="32"/>
  <c r="J232" i="32"/>
  <c r="AQ231" i="32"/>
  <c r="AJ231" i="32"/>
  <c r="AI231" i="32"/>
  <c r="AH231" i="32"/>
  <c r="AG231" i="32"/>
  <c r="AF231" i="32"/>
  <c r="AE231" i="32"/>
  <c r="AC231" i="32"/>
  <c r="X231" i="32"/>
  <c r="W231" i="32"/>
  <c r="V231" i="32"/>
  <c r="T231" i="32"/>
  <c r="S231" i="32"/>
  <c r="R231" i="32"/>
  <c r="Q231" i="32"/>
  <c r="P231" i="32"/>
  <c r="N231" i="32"/>
  <c r="M231" i="32"/>
  <c r="J231" i="32"/>
  <c r="AQ230" i="32"/>
  <c r="AJ230" i="32"/>
  <c r="AI230" i="32"/>
  <c r="AH230" i="32"/>
  <c r="AG230" i="32"/>
  <c r="AE230" i="32"/>
  <c r="AC230" i="32"/>
  <c r="X230" i="32"/>
  <c r="W230" i="32"/>
  <c r="V230" i="32"/>
  <c r="T230" i="32"/>
  <c r="S230" i="32"/>
  <c r="R230" i="32"/>
  <c r="Q230" i="32"/>
  <c r="N230" i="32"/>
  <c r="M230" i="32"/>
  <c r="J230" i="32"/>
  <c r="AQ229" i="32"/>
  <c r="AJ229" i="32"/>
  <c r="AJ228" i="32" s="1"/>
  <c r="AI229" i="32"/>
  <c r="AH229" i="32"/>
  <c r="AG229" i="32"/>
  <c r="AE229" i="32"/>
  <c r="AC229" i="32"/>
  <c r="X229" i="32"/>
  <c r="W229" i="32"/>
  <c r="V229" i="32"/>
  <c r="T229" i="32"/>
  <c r="S229" i="32"/>
  <c r="R229" i="32"/>
  <c r="Q229" i="32"/>
  <c r="N229" i="32"/>
  <c r="M229" i="32"/>
  <c r="J229" i="32"/>
  <c r="AQ224" i="32"/>
  <c r="AJ224" i="32"/>
  <c r="AI224" i="32"/>
  <c r="AH224" i="32"/>
  <c r="AG224" i="32"/>
  <c r="AF224" i="32"/>
  <c r="AE224" i="32"/>
  <c r="AC224" i="32"/>
  <c r="X224" i="32"/>
  <c r="W224" i="32"/>
  <c r="V224" i="32"/>
  <c r="T224" i="32"/>
  <c r="S224" i="32"/>
  <c r="R224" i="32"/>
  <c r="Q224" i="32"/>
  <c r="P224" i="32"/>
  <c r="N224" i="32"/>
  <c r="M224" i="32"/>
  <c r="J224" i="32"/>
  <c r="AK223" i="32"/>
  <c r="AR223" i="32" s="1"/>
  <c r="AR224" i="32" s="1"/>
  <c r="Y223" i="32"/>
  <c r="O223" i="32"/>
  <c r="L223" i="32"/>
  <c r="L224" i="32" s="1"/>
  <c r="K223" i="32"/>
  <c r="AQ222" i="32"/>
  <c r="AJ222" i="32"/>
  <c r="AI222" i="32"/>
  <c r="AH222" i="32"/>
  <c r="AG222" i="32"/>
  <c r="AE222" i="32"/>
  <c r="AC222" i="32"/>
  <c r="X222" i="32"/>
  <c r="W222" i="32"/>
  <c r="V222" i="32"/>
  <c r="T222" i="32"/>
  <c r="S222" i="32"/>
  <c r="R222" i="32"/>
  <c r="Q222" i="32"/>
  <c r="P222" i="32"/>
  <c r="N222" i="32"/>
  <c r="M222" i="32"/>
  <c r="J222" i="32"/>
  <c r="AK221" i="32"/>
  <c r="AR221" i="32" s="1"/>
  <c r="Y221" i="32"/>
  <c r="AN221" i="32" s="1"/>
  <c r="O221" i="32"/>
  <c r="U221" i="32" s="1"/>
  <c r="AB221" i="32" s="1"/>
  <c r="L221" i="32"/>
  <c r="K221" i="32"/>
  <c r="AK220" i="32"/>
  <c r="AR220" i="32" s="1"/>
  <c r="Y220" i="32"/>
  <c r="AN220" i="32" s="1"/>
  <c r="O220" i="32"/>
  <c r="U220" i="32" s="1"/>
  <c r="L220" i="32"/>
  <c r="K220" i="32"/>
  <c r="I220" i="32" s="1"/>
  <c r="AK219" i="32"/>
  <c r="AR219" i="32" s="1"/>
  <c r="Y219" i="32"/>
  <c r="AN219" i="32" s="1"/>
  <c r="O219" i="32"/>
  <c r="U219" i="32" s="1"/>
  <c r="AB219" i="32" s="1"/>
  <c r="AP219" i="32" s="1"/>
  <c r="L219" i="32"/>
  <c r="K219" i="32"/>
  <c r="AK218" i="32"/>
  <c r="AR218" i="32" s="1"/>
  <c r="Y218" i="32"/>
  <c r="AN218" i="32" s="1"/>
  <c r="O218" i="32"/>
  <c r="L218" i="32"/>
  <c r="L222" i="32" s="1"/>
  <c r="K218" i="32"/>
  <c r="AQ217" i="32"/>
  <c r="AJ217" i="32"/>
  <c r="AI217" i="32"/>
  <c r="AH217" i="32"/>
  <c r="AG217" i="32"/>
  <c r="AE217" i="32"/>
  <c r="AC217" i="32"/>
  <c r="X217" i="32"/>
  <c r="W217" i="32"/>
  <c r="V217" i="32"/>
  <c r="T217" i="32"/>
  <c r="S217" i="32"/>
  <c r="R217" i="32"/>
  <c r="Q217" i="32"/>
  <c r="P217" i="32"/>
  <c r="N217" i="32"/>
  <c r="M217" i="32"/>
  <c r="J217" i="32"/>
  <c r="AK216" i="32"/>
  <c r="AR216" i="32" s="1"/>
  <c r="Y216" i="32"/>
  <c r="O216" i="32"/>
  <c r="U216" i="32" s="1"/>
  <c r="L216" i="32"/>
  <c r="K216" i="32"/>
  <c r="AK215" i="32"/>
  <c r="AR215" i="32" s="1"/>
  <c r="AF215" i="32"/>
  <c r="AF217" i="32" s="1"/>
  <c r="Y215" i="32"/>
  <c r="P215" i="32"/>
  <c r="O215" i="32"/>
  <c r="U215" i="32" s="1"/>
  <c r="AB215" i="32" s="1"/>
  <c r="L215" i="32"/>
  <c r="K215" i="32"/>
  <c r="AM214" i="32"/>
  <c r="AK214" i="32"/>
  <c r="AR214" i="32" s="1"/>
  <c r="Y214" i="32"/>
  <c r="AN214" i="32" s="1"/>
  <c r="O214" i="32"/>
  <c r="U214" i="32" s="1"/>
  <c r="AB214" i="32" s="1"/>
  <c r="AP214" i="32" s="1"/>
  <c r="L214" i="32"/>
  <c r="K214" i="32"/>
  <c r="AK213" i="32"/>
  <c r="AR213" i="32" s="1"/>
  <c r="Y213" i="32"/>
  <c r="O213" i="32"/>
  <c r="O217" i="32" s="1"/>
  <c r="L213" i="32"/>
  <c r="K213" i="32"/>
  <c r="AQ212" i="32"/>
  <c r="AJ212" i="32"/>
  <c r="AI212" i="32"/>
  <c r="AH212" i="32"/>
  <c r="AG212" i="32"/>
  <c r="AF212" i="32"/>
  <c r="AE212" i="32"/>
  <c r="AC212" i="32"/>
  <c r="X212" i="32"/>
  <c r="W212" i="32"/>
  <c r="V212" i="32"/>
  <c r="T212" i="32"/>
  <c r="S212" i="32"/>
  <c r="R212" i="32"/>
  <c r="Q212" i="32"/>
  <c r="P212" i="32"/>
  <c r="N212" i="32"/>
  <c r="M212" i="32"/>
  <c r="J212" i="32"/>
  <c r="AM211" i="32"/>
  <c r="AK211" i="32"/>
  <c r="AR211" i="32" s="1"/>
  <c r="Y211" i="32"/>
  <c r="AN211" i="32" s="1"/>
  <c r="O211" i="32"/>
  <c r="U211" i="32" s="1"/>
  <c r="L211" i="32"/>
  <c r="K211" i="32"/>
  <c r="AK210" i="32"/>
  <c r="AR210" i="32" s="1"/>
  <c r="Y210" i="32"/>
  <c r="AN210" i="32" s="1"/>
  <c r="O210" i="32"/>
  <c r="U210" i="32" s="1"/>
  <c r="AM210" i="32" s="1"/>
  <c r="L210" i="32"/>
  <c r="K210" i="32"/>
  <c r="AK209" i="32"/>
  <c r="AR209" i="32" s="1"/>
  <c r="Y209" i="32"/>
  <c r="AN209" i="32" s="1"/>
  <c r="O209" i="32"/>
  <c r="U209" i="32" s="1"/>
  <c r="L209" i="32"/>
  <c r="K209" i="32"/>
  <c r="AK208" i="32"/>
  <c r="Y208" i="32"/>
  <c r="AN208" i="32" s="1"/>
  <c r="AN212" i="32" s="1"/>
  <c r="O208" i="32"/>
  <c r="L208" i="32"/>
  <c r="K208" i="32"/>
  <c r="AQ207" i="32"/>
  <c r="AJ207" i="32"/>
  <c r="AI207" i="32"/>
  <c r="AH207" i="32"/>
  <c r="AG207" i="32"/>
  <c r="AF207" i="32"/>
  <c r="AE207" i="32"/>
  <c r="AC207" i="32"/>
  <c r="X207" i="32"/>
  <c r="W207" i="32"/>
  <c r="V207" i="32"/>
  <c r="T207" i="32"/>
  <c r="S207" i="32"/>
  <c r="R207" i="32"/>
  <c r="Q207" i="32"/>
  <c r="P207" i="32"/>
  <c r="N207" i="32"/>
  <c r="M207" i="32"/>
  <c r="J207" i="32"/>
  <c r="AN206" i="32"/>
  <c r="AK206" i="32"/>
  <c r="AR206" i="32" s="1"/>
  <c r="Y206" i="32"/>
  <c r="O206" i="32"/>
  <c r="U206" i="32" s="1"/>
  <c r="AM206" i="32" s="1"/>
  <c r="L206" i="32"/>
  <c r="K206" i="32"/>
  <c r="AK205" i="32"/>
  <c r="Y205" i="32"/>
  <c r="AN205" i="32" s="1"/>
  <c r="O205" i="32"/>
  <c r="U205" i="32" s="1"/>
  <c r="AM205" i="32" s="1"/>
  <c r="L205" i="32"/>
  <c r="K205" i="32"/>
  <c r="AR204" i="32"/>
  <c r="AK204" i="32"/>
  <c r="Y204" i="32"/>
  <c r="AN204" i="32" s="1"/>
  <c r="O204" i="32"/>
  <c r="U204" i="32" s="1"/>
  <c r="AM204" i="32" s="1"/>
  <c r="L204" i="32"/>
  <c r="K204" i="32"/>
  <c r="AK203" i="32"/>
  <c r="AR203" i="32" s="1"/>
  <c r="Y203" i="32"/>
  <c r="O203" i="32"/>
  <c r="L203" i="32"/>
  <c r="K203" i="32"/>
  <c r="AQ202" i="32"/>
  <c r="AJ202" i="32"/>
  <c r="AI202" i="32"/>
  <c r="AH202" i="32"/>
  <c r="AG202" i="32"/>
  <c r="AF202" i="32"/>
  <c r="AE202" i="32"/>
  <c r="AC202" i="32"/>
  <c r="X202" i="32"/>
  <c r="W202" i="32"/>
  <c r="V202" i="32"/>
  <c r="T202" i="32"/>
  <c r="S202" i="32"/>
  <c r="R202" i="32"/>
  <c r="Q202" i="32"/>
  <c r="P202" i="32"/>
  <c r="N202" i="32"/>
  <c r="M202" i="32"/>
  <c r="J202" i="32"/>
  <c r="AK201" i="32"/>
  <c r="AR201" i="32" s="1"/>
  <c r="Y201" i="32"/>
  <c r="AN201" i="32" s="1"/>
  <c r="O201" i="32"/>
  <c r="U201" i="32" s="1"/>
  <c r="L201" i="32"/>
  <c r="K201" i="32"/>
  <c r="AK200" i="32"/>
  <c r="AR200" i="32" s="1"/>
  <c r="Y200" i="32"/>
  <c r="O200" i="32"/>
  <c r="U200" i="32" s="1"/>
  <c r="AB200" i="32" s="1"/>
  <c r="L200" i="32"/>
  <c r="K200" i="32"/>
  <c r="I200" i="32" s="1"/>
  <c r="AK199" i="32"/>
  <c r="AR199" i="32" s="1"/>
  <c r="Y199" i="32"/>
  <c r="AN199" i="32" s="1"/>
  <c r="O199" i="32"/>
  <c r="U199" i="32" s="1"/>
  <c r="L199" i="32"/>
  <c r="K199" i="32"/>
  <c r="AK198" i="32"/>
  <c r="AR198" i="32" s="1"/>
  <c r="Y198" i="32"/>
  <c r="O198" i="32"/>
  <c r="U198" i="32" s="1"/>
  <c r="L198" i="32"/>
  <c r="K198" i="32"/>
  <c r="AQ197" i="32"/>
  <c r="AJ197" i="32"/>
  <c r="AI197" i="32"/>
  <c r="AH197" i="32"/>
  <c r="AG197" i="32"/>
  <c r="AF197" i="32"/>
  <c r="AE197" i="32"/>
  <c r="AC197" i="32"/>
  <c r="X197" i="32"/>
  <c r="W197" i="32"/>
  <c r="V197" i="32"/>
  <c r="T197" i="32"/>
  <c r="S197" i="32"/>
  <c r="R197" i="32"/>
  <c r="Q197" i="32"/>
  <c r="P197" i="32"/>
  <c r="N197" i="32"/>
  <c r="M197" i="32"/>
  <c r="J197" i="32"/>
  <c r="AK196" i="32"/>
  <c r="AR196" i="32" s="1"/>
  <c r="Y196" i="32"/>
  <c r="AN196" i="32" s="1"/>
  <c r="O196" i="32"/>
  <c r="U196" i="32" s="1"/>
  <c r="L196" i="32"/>
  <c r="K196" i="32"/>
  <c r="AK195" i="32"/>
  <c r="AR195" i="32" s="1"/>
  <c r="Y195" i="32"/>
  <c r="AN195" i="32" s="1"/>
  <c r="O195" i="32"/>
  <c r="U195" i="32" s="1"/>
  <c r="AB195" i="32" s="1"/>
  <c r="L195" i="32"/>
  <c r="K195" i="32"/>
  <c r="AK194" i="32"/>
  <c r="AR194" i="32" s="1"/>
  <c r="Y194" i="32"/>
  <c r="O194" i="32"/>
  <c r="U194" i="32" s="1"/>
  <c r="L194" i="32"/>
  <c r="K194" i="32"/>
  <c r="AR193" i="32"/>
  <c r="AK193" i="32"/>
  <c r="Y193" i="32"/>
  <c r="AN193" i="32" s="1"/>
  <c r="O193" i="32"/>
  <c r="L193" i="32"/>
  <c r="K193" i="32"/>
  <c r="AQ192" i="32"/>
  <c r="AJ192" i="32"/>
  <c r="AI192" i="32"/>
  <c r="AH192" i="32"/>
  <c r="AG192" i="32"/>
  <c r="AF192" i="32"/>
  <c r="AE192" i="32"/>
  <c r="AC192" i="32"/>
  <c r="X192" i="32"/>
  <c r="W192" i="32"/>
  <c r="V192" i="32"/>
  <c r="T192" i="32"/>
  <c r="S192" i="32"/>
  <c r="R192" i="32"/>
  <c r="Q192" i="32"/>
  <c r="P192" i="32"/>
  <c r="N192" i="32"/>
  <c r="M192" i="32"/>
  <c r="J192" i="32"/>
  <c r="AK191" i="32"/>
  <c r="AR191" i="32" s="1"/>
  <c r="Y191" i="32"/>
  <c r="AN191" i="32" s="1"/>
  <c r="O191" i="32"/>
  <c r="U191" i="32" s="1"/>
  <c r="L191" i="32"/>
  <c r="K191" i="32"/>
  <c r="AK190" i="32"/>
  <c r="Y190" i="32"/>
  <c r="AN190" i="32" s="1"/>
  <c r="AN192" i="32" s="1"/>
  <c r="O190" i="32"/>
  <c r="U190" i="32" s="1"/>
  <c r="AB190" i="32" s="1"/>
  <c r="L190" i="32"/>
  <c r="K190" i="32"/>
  <c r="AQ189" i="32"/>
  <c r="AJ189" i="32"/>
  <c r="AI189" i="32"/>
  <c r="AH189" i="32"/>
  <c r="AG189" i="32"/>
  <c r="AF189" i="32"/>
  <c r="AE189" i="32"/>
  <c r="AC189" i="32"/>
  <c r="X189" i="32"/>
  <c r="W189" i="32"/>
  <c r="V189" i="32"/>
  <c r="T189" i="32"/>
  <c r="S189" i="32"/>
  <c r="R189" i="32"/>
  <c r="Q189" i="32"/>
  <c r="P189" i="32"/>
  <c r="N189" i="32"/>
  <c r="M189" i="32"/>
  <c r="J189" i="32"/>
  <c r="AK188" i="32"/>
  <c r="AR188" i="32" s="1"/>
  <c r="Y188" i="32"/>
  <c r="AN188" i="32" s="1"/>
  <c r="O188" i="32"/>
  <c r="U188" i="32" s="1"/>
  <c r="L188" i="32"/>
  <c r="K188" i="32"/>
  <c r="AK187" i="32"/>
  <c r="AR187" i="32" s="1"/>
  <c r="Y187" i="32"/>
  <c r="AN187" i="32" s="1"/>
  <c r="O187" i="32"/>
  <c r="U187" i="32" s="1"/>
  <c r="AB187" i="32" s="1"/>
  <c r="AP187" i="32" s="1"/>
  <c r="L187" i="32"/>
  <c r="I187" i="32" s="1"/>
  <c r="K187" i="32"/>
  <c r="AK186" i="32"/>
  <c r="AR186" i="32" s="1"/>
  <c r="Y186" i="32"/>
  <c r="AN186" i="32" s="1"/>
  <c r="O186" i="32"/>
  <c r="U186" i="32" s="1"/>
  <c r="AB186" i="32" s="1"/>
  <c r="AP186" i="32" s="1"/>
  <c r="L186" i="32"/>
  <c r="K186" i="32"/>
  <c r="AK185" i="32"/>
  <c r="Y185" i="32"/>
  <c r="O185" i="32"/>
  <c r="U185" i="32" s="1"/>
  <c r="L185" i="32"/>
  <c r="K185" i="32"/>
  <c r="AQ184" i="32"/>
  <c r="AK184" i="32"/>
  <c r="AJ184" i="32"/>
  <c r="AI184" i="32"/>
  <c r="AH184" i="32"/>
  <c r="AG184" i="32"/>
  <c r="AF184" i="32"/>
  <c r="AE184" i="32"/>
  <c r="AC184" i="32"/>
  <c r="X184" i="32"/>
  <c r="W184" i="32"/>
  <c r="V184" i="32"/>
  <c r="T184" i="32"/>
  <c r="S184" i="32"/>
  <c r="R184" i="32"/>
  <c r="Q184" i="32"/>
  <c r="P184" i="32"/>
  <c r="N184" i="32"/>
  <c r="M184" i="32"/>
  <c r="J184" i="32"/>
  <c r="AK183" i="32"/>
  <c r="AR183" i="32" s="1"/>
  <c r="Y183" i="32"/>
  <c r="O183" i="32"/>
  <c r="U183" i="32" s="1"/>
  <c r="AB183" i="32" s="1"/>
  <c r="L183" i="32"/>
  <c r="AP183" i="32" s="1"/>
  <c r="K183" i="32"/>
  <c r="K184" i="32" s="1"/>
  <c r="AR182" i="32"/>
  <c r="AK182" i="32"/>
  <c r="Y182" i="32"/>
  <c r="O182" i="32"/>
  <c r="L182" i="32"/>
  <c r="I182" i="32" s="1"/>
  <c r="K182" i="32"/>
  <c r="AQ181" i="32"/>
  <c r="AJ181" i="32"/>
  <c r="AI181" i="32"/>
  <c r="AH181" i="32"/>
  <c r="AG181" i="32"/>
  <c r="AF181" i="32"/>
  <c r="AE181" i="32"/>
  <c r="AC181" i="32"/>
  <c r="X181" i="32"/>
  <c r="W181" i="32"/>
  <c r="V181" i="32"/>
  <c r="T181" i="32"/>
  <c r="S181" i="32"/>
  <c r="R181" i="32"/>
  <c r="Q181" i="32"/>
  <c r="P181" i="32"/>
  <c r="N181" i="32"/>
  <c r="M181" i="32"/>
  <c r="J181" i="32"/>
  <c r="AK180" i="32"/>
  <c r="AR180" i="32" s="1"/>
  <c r="Y180" i="32"/>
  <c r="AN180" i="32" s="1"/>
  <c r="O180" i="32"/>
  <c r="U180" i="32" s="1"/>
  <c r="L180" i="32"/>
  <c r="K180" i="32"/>
  <c r="AK179" i="32"/>
  <c r="AR179" i="32" s="1"/>
  <c r="Y179" i="32"/>
  <c r="AN179" i="32" s="1"/>
  <c r="O179" i="32"/>
  <c r="U179" i="32" s="1"/>
  <c r="L179" i="32"/>
  <c r="K179" i="32"/>
  <c r="AK178" i="32"/>
  <c r="AR178" i="32" s="1"/>
  <c r="Y178" i="32"/>
  <c r="AN178" i="32" s="1"/>
  <c r="O178" i="32"/>
  <c r="U178" i="32" s="1"/>
  <c r="AB178" i="32" s="1"/>
  <c r="L178" i="32"/>
  <c r="AP178" i="32" s="1"/>
  <c r="K178" i="32"/>
  <c r="AK177" i="32"/>
  <c r="Y177" i="32"/>
  <c r="AN177" i="32" s="1"/>
  <c r="U177" i="32"/>
  <c r="O177" i="32"/>
  <c r="L177" i="32"/>
  <c r="K177" i="32"/>
  <c r="AQ176" i="32"/>
  <c r="AJ176" i="32"/>
  <c r="AI176" i="32"/>
  <c r="AH176" i="32"/>
  <c r="AG176" i="32"/>
  <c r="AE176" i="32"/>
  <c r="AC176" i="32"/>
  <c r="X176" i="32"/>
  <c r="W176" i="32"/>
  <c r="V176" i="32"/>
  <c r="T176" i="32"/>
  <c r="S176" i="32"/>
  <c r="R176" i="32"/>
  <c r="Q176" i="32"/>
  <c r="N176" i="32"/>
  <c r="M176" i="32"/>
  <c r="J176" i="32"/>
  <c r="AK175" i="32"/>
  <c r="AR175" i="32" s="1"/>
  <c r="Y175" i="32"/>
  <c r="AN175" i="32" s="1"/>
  <c r="O175" i="32"/>
  <c r="U175" i="32" s="1"/>
  <c r="AM175" i="32" s="1"/>
  <c r="L175" i="32"/>
  <c r="K175" i="32"/>
  <c r="AF174" i="32"/>
  <c r="Y174" i="32"/>
  <c r="AN174" i="32" s="1"/>
  <c r="P174" i="32"/>
  <c r="O174" i="32"/>
  <c r="L174" i="32"/>
  <c r="K174" i="32"/>
  <c r="AK173" i="32"/>
  <c r="Y173" i="32"/>
  <c r="AN173" i="32" s="1"/>
  <c r="O173" i="32"/>
  <c r="L173" i="32"/>
  <c r="K173" i="32"/>
  <c r="AK172" i="32"/>
  <c r="AR172" i="32" s="1"/>
  <c r="Z172" i="32"/>
  <c r="Y172" i="32"/>
  <c r="AN172" i="32" s="1"/>
  <c r="U172" i="32"/>
  <c r="O172" i="32"/>
  <c r="L172" i="32"/>
  <c r="K172" i="32"/>
  <c r="I172" i="32"/>
  <c r="AQ171" i="32"/>
  <c r="AJ171" i="32"/>
  <c r="AI171" i="32"/>
  <c r="AH171" i="32"/>
  <c r="AG171" i="32"/>
  <c r="AF171" i="32"/>
  <c r="AE171" i="32"/>
  <c r="AC171" i="32"/>
  <c r="Y171" i="32"/>
  <c r="X171" i="32"/>
  <c r="W171" i="32"/>
  <c r="V171" i="32"/>
  <c r="T171" i="32"/>
  <c r="S171" i="32"/>
  <c r="R171" i="32"/>
  <c r="Q171" i="32"/>
  <c r="P171" i="32"/>
  <c r="N171" i="32"/>
  <c r="M171" i="32"/>
  <c r="J171" i="32"/>
  <c r="AK170" i="32"/>
  <c r="AR170" i="32" s="1"/>
  <c r="Y170" i="32"/>
  <c r="AN170" i="32" s="1"/>
  <c r="O170" i="32"/>
  <c r="U170" i="32" s="1"/>
  <c r="AB170" i="32" s="1"/>
  <c r="L170" i="32"/>
  <c r="K170" i="32"/>
  <c r="AK169" i="32"/>
  <c r="Y169" i="32"/>
  <c r="AN169" i="32" s="1"/>
  <c r="O169" i="32"/>
  <c r="U169" i="32" s="1"/>
  <c r="AB169" i="32" s="1"/>
  <c r="L169" i="32"/>
  <c r="K169" i="32"/>
  <c r="AQ168" i="32"/>
  <c r="AJ168" i="32"/>
  <c r="AI168" i="32"/>
  <c r="AH168" i="32"/>
  <c r="AG168" i="32"/>
  <c r="AF168" i="32"/>
  <c r="AE168" i="32"/>
  <c r="AC168" i="32"/>
  <c r="X168" i="32"/>
  <c r="W168" i="32"/>
  <c r="V168" i="32"/>
  <c r="T168" i="32"/>
  <c r="S168" i="32"/>
  <c r="R168" i="32"/>
  <c r="Q168" i="32"/>
  <c r="P168" i="32"/>
  <c r="N168" i="32"/>
  <c r="M168" i="32"/>
  <c r="J168" i="32"/>
  <c r="AK167" i="32"/>
  <c r="AR167" i="32" s="1"/>
  <c r="AR168" i="32" s="1"/>
  <c r="Y167" i="32"/>
  <c r="O167" i="32"/>
  <c r="U167" i="32" s="1"/>
  <c r="U168" i="32" s="1"/>
  <c r="L167" i="32"/>
  <c r="K167" i="32"/>
  <c r="K168" i="32" s="1"/>
  <c r="AQ166" i="32"/>
  <c r="AJ166" i="32"/>
  <c r="AI166" i="32"/>
  <c r="AH166" i="32"/>
  <c r="AG166" i="32"/>
  <c r="AE166" i="32"/>
  <c r="AC166" i="32"/>
  <c r="X166" i="32"/>
  <c r="W166" i="32"/>
  <c r="V166" i="32"/>
  <c r="T166" i="32"/>
  <c r="S166" i="32"/>
  <c r="R166" i="32"/>
  <c r="Q166" i="32"/>
  <c r="N166" i="32"/>
  <c r="M166" i="32"/>
  <c r="J166" i="32"/>
  <c r="AK165" i="32"/>
  <c r="AR165" i="32" s="1"/>
  <c r="Y165" i="32"/>
  <c r="O165" i="32"/>
  <c r="L165" i="32"/>
  <c r="K165" i="32"/>
  <c r="AK164" i="32"/>
  <c r="AR164" i="32" s="1"/>
  <c r="Y164" i="32"/>
  <c r="AN164" i="32" s="1"/>
  <c r="O164" i="32"/>
  <c r="U164" i="32" s="1"/>
  <c r="Z164" i="32" s="1"/>
  <c r="L164" i="32"/>
  <c r="K164" i="32"/>
  <c r="I164" i="32" s="1"/>
  <c r="Y163" i="32"/>
  <c r="U163" i="32"/>
  <c r="AB163" i="32" s="1"/>
  <c r="P166" i="32"/>
  <c r="O163" i="32"/>
  <c r="L163" i="32"/>
  <c r="K163" i="32"/>
  <c r="AK162" i="32"/>
  <c r="AR162" i="32" s="1"/>
  <c r="Y162" i="32"/>
  <c r="AN162" i="32" s="1"/>
  <c r="O162" i="32"/>
  <c r="U162" i="32" s="1"/>
  <c r="Z162" i="32" s="1"/>
  <c r="L162" i="32"/>
  <c r="K162" i="32"/>
  <c r="AN161" i="32"/>
  <c r="AK161" i="32"/>
  <c r="AR161" i="32" s="1"/>
  <c r="AA161" i="32"/>
  <c r="AO161" i="32" s="1"/>
  <c r="Y161" i="32"/>
  <c r="O161" i="32"/>
  <c r="U161" i="32" s="1"/>
  <c r="I161" i="32"/>
  <c r="AK160" i="32"/>
  <c r="AR160" i="32" s="1"/>
  <c r="Y160" i="32"/>
  <c r="AN160" i="32" s="1"/>
  <c r="O160" i="32"/>
  <c r="U160" i="32" s="1"/>
  <c r="AB160" i="32" s="1"/>
  <c r="L160" i="32"/>
  <c r="I160" i="32" s="1"/>
  <c r="K160" i="32"/>
  <c r="AK159" i="32"/>
  <c r="Y159" i="32"/>
  <c r="AN159" i="32" s="1"/>
  <c r="O159" i="32"/>
  <c r="U159" i="32" s="1"/>
  <c r="AA159" i="32" s="1"/>
  <c r="L159" i="32"/>
  <c r="K159" i="32"/>
  <c r="AQ158" i="32"/>
  <c r="AJ158" i="32"/>
  <c r="AI158" i="32"/>
  <c r="AH158" i="32"/>
  <c r="AG158" i="32"/>
  <c r="AF158" i="32"/>
  <c r="AE158" i="32"/>
  <c r="AC158" i="32"/>
  <c r="X158" i="32"/>
  <c r="W158" i="32"/>
  <c r="V158" i="32"/>
  <c r="T158" i="32"/>
  <c r="S158" i="32"/>
  <c r="R158" i="32"/>
  <c r="Q158" i="32"/>
  <c r="P158" i="32"/>
  <c r="N158" i="32"/>
  <c r="M158" i="32"/>
  <c r="J158" i="32"/>
  <c r="AK157" i="32"/>
  <c r="AR157" i="32" s="1"/>
  <c r="Y157" i="32"/>
  <c r="AN157" i="32" s="1"/>
  <c r="O157" i="32"/>
  <c r="U157" i="32" s="1"/>
  <c r="L157" i="32"/>
  <c r="K157" i="32"/>
  <c r="AK156" i="32"/>
  <c r="AR156" i="32" s="1"/>
  <c r="Y156" i="32"/>
  <c r="AN156" i="32" s="1"/>
  <c r="AN158" i="32" s="1"/>
  <c r="O156" i="32"/>
  <c r="U156" i="32" s="1"/>
  <c r="L156" i="32"/>
  <c r="K156" i="32"/>
  <c r="AN155" i="32"/>
  <c r="AK155" i="32"/>
  <c r="AR155" i="32" s="1"/>
  <c r="Y155" i="32"/>
  <c r="U155" i="32"/>
  <c r="AM155" i="32" s="1"/>
  <c r="O155" i="32"/>
  <c r="L155" i="32"/>
  <c r="L158" i="32" s="1"/>
  <c r="K155" i="32"/>
  <c r="AQ154" i="32"/>
  <c r="AJ154" i="32"/>
  <c r="AI154" i="32"/>
  <c r="AH154" i="32"/>
  <c r="AG154" i="32"/>
  <c r="AF154" i="32"/>
  <c r="AE154" i="32"/>
  <c r="AC154" i="32"/>
  <c r="X154" i="32"/>
  <c r="W154" i="32"/>
  <c r="V154" i="32"/>
  <c r="T154" i="32"/>
  <c r="S154" i="32"/>
  <c r="R154" i="32"/>
  <c r="Q154" i="32"/>
  <c r="P154" i="32"/>
  <c r="N154" i="32"/>
  <c r="M154" i="32"/>
  <c r="J154" i="32"/>
  <c r="AK153" i="32"/>
  <c r="AR153" i="32" s="1"/>
  <c r="Y153" i="32"/>
  <c r="AN153" i="32" s="1"/>
  <c r="O153" i="32"/>
  <c r="U153" i="32" s="1"/>
  <c r="L153" i="32"/>
  <c r="K153" i="32"/>
  <c r="AK152" i="32"/>
  <c r="AK154" i="32" s="1"/>
  <c r="Y152" i="32"/>
  <c r="AN152" i="32" s="1"/>
  <c r="O152" i="32"/>
  <c r="U152" i="32" s="1"/>
  <c r="L152" i="32"/>
  <c r="K152" i="32"/>
  <c r="AQ151" i="32"/>
  <c r="AJ151" i="32"/>
  <c r="AI151" i="32"/>
  <c r="AH151" i="32"/>
  <c r="AG151" i="32"/>
  <c r="AE151" i="32"/>
  <c r="AC151" i="32"/>
  <c r="X151" i="32"/>
  <c r="W151" i="32"/>
  <c r="V151" i="32"/>
  <c r="T151" i="32"/>
  <c r="S151" i="32"/>
  <c r="R151" i="32"/>
  <c r="Q151" i="32"/>
  <c r="N151" i="32"/>
  <c r="M151" i="32"/>
  <c r="J151" i="32"/>
  <c r="AK150" i="32"/>
  <c r="AR150" i="32" s="1"/>
  <c r="Y150" i="32"/>
  <c r="AN150" i="32" s="1"/>
  <c r="U150" i="32"/>
  <c r="O150" i="32"/>
  <c r="L150" i="32"/>
  <c r="K150" i="32"/>
  <c r="AF149" i="32"/>
  <c r="Y149" i="32"/>
  <c r="AN149" i="32" s="1"/>
  <c r="U149" i="32"/>
  <c r="P149" i="32"/>
  <c r="P151" i="32" s="1"/>
  <c r="O149" i="32"/>
  <c r="L149" i="32"/>
  <c r="K149" i="32"/>
  <c r="I149" i="32" s="1"/>
  <c r="AK148" i="32"/>
  <c r="AR148" i="32" s="1"/>
  <c r="Y148" i="32"/>
  <c r="AN148" i="32" s="1"/>
  <c r="O148" i="32"/>
  <c r="U148" i="32" s="1"/>
  <c r="L148" i="32"/>
  <c r="K148" i="32"/>
  <c r="AK147" i="32"/>
  <c r="AR147" i="32" s="1"/>
  <c r="Y147" i="32"/>
  <c r="AN147" i="32" s="1"/>
  <c r="O147" i="32"/>
  <c r="L147" i="32"/>
  <c r="L151" i="32" s="1"/>
  <c r="K147" i="32"/>
  <c r="AQ146" i="32"/>
  <c r="AJ146" i="32"/>
  <c r="AI146" i="32"/>
  <c r="AH146" i="32"/>
  <c r="AG146" i="32"/>
  <c r="AF146" i="32"/>
  <c r="AE146" i="32"/>
  <c r="AC146" i="32"/>
  <c r="X146" i="32"/>
  <c r="W146" i="32"/>
  <c r="V146" i="32"/>
  <c r="T146" i="32"/>
  <c r="S146" i="32"/>
  <c r="R146" i="32"/>
  <c r="Q146" i="32"/>
  <c r="P146" i="32"/>
  <c r="N146" i="32"/>
  <c r="M146" i="32"/>
  <c r="J146" i="32"/>
  <c r="AK145" i="32"/>
  <c r="AR145" i="32" s="1"/>
  <c r="Y145" i="32"/>
  <c r="O145" i="32"/>
  <c r="U145" i="32" s="1"/>
  <c r="L145" i="32"/>
  <c r="K145" i="32"/>
  <c r="AK144" i="32"/>
  <c r="AR144" i="32" s="1"/>
  <c r="Y144" i="32"/>
  <c r="AN144" i="32" s="1"/>
  <c r="U144" i="32"/>
  <c r="O144" i="32"/>
  <c r="L144" i="32"/>
  <c r="K144" i="32"/>
  <c r="AK143" i="32"/>
  <c r="AR143" i="32" s="1"/>
  <c r="Y143" i="32"/>
  <c r="AN143" i="32" s="1"/>
  <c r="O143" i="32"/>
  <c r="U143" i="32" s="1"/>
  <c r="L143" i="32"/>
  <c r="K143" i="32"/>
  <c r="AQ142" i="32"/>
  <c r="AJ142" i="32"/>
  <c r="AI142" i="32"/>
  <c r="AH142" i="32"/>
  <c r="AG142" i="32"/>
  <c r="AF142" i="32"/>
  <c r="AE142" i="32"/>
  <c r="AC142" i="32"/>
  <c r="X142" i="32"/>
  <c r="W142" i="32"/>
  <c r="V142" i="32"/>
  <c r="T142" i="32"/>
  <c r="S142" i="32"/>
  <c r="R142" i="32"/>
  <c r="Q142" i="32"/>
  <c r="P142" i="32"/>
  <c r="N142" i="32"/>
  <c r="M142" i="32"/>
  <c r="J142" i="32"/>
  <c r="AK141" i="32"/>
  <c r="AR141" i="32" s="1"/>
  <c r="Z141" i="32"/>
  <c r="Y141" i="32"/>
  <c r="AN141" i="32" s="1"/>
  <c r="U141" i="32"/>
  <c r="AM141" i="32" s="1"/>
  <c r="O141" i="32"/>
  <c r="L141" i="32"/>
  <c r="I141" i="32" s="1"/>
  <c r="K141" i="32"/>
  <c r="AK140" i="32"/>
  <c r="AR140" i="32" s="1"/>
  <c r="Y140" i="32"/>
  <c r="AN140" i="32" s="1"/>
  <c r="AN142" i="32" s="1"/>
  <c r="O140" i="32"/>
  <c r="U140" i="32" s="1"/>
  <c r="U142" i="32" s="1"/>
  <c r="L140" i="32"/>
  <c r="L142" i="32" s="1"/>
  <c r="K140" i="32"/>
  <c r="AQ139" i="32"/>
  <c r="AJ139" i="32"/>
  <c r="AI139" i="32"/>
  <c r="AH139" i="32"/>
  <c r="AG139" i="32"/>
  <c r="AF139" i="32"/>
  <c r="AE139" i="32"/>
  <c r="AC139" i="32"/>
  <c r="X139" i="32"/>
  <c r="W139" i="32"/>
  <c r="V139" i="32"/>
  <c r="T139" i="32"/>
  <c r="S139" i="32"/>
  <c r="R139" i="32"/>
  <c r="Q139" i="32"/>
  <c r="P139" i="32"/>
  <c r="N139" i="32"/>
  <c r="M139" i="32"/>
  <c r="J139" i="32"/>
  <c r="AK138" i="32"/>
  <c r="AR138" i="32" s="1"/>
  <c r="Y138" i="32"/>
  <c r="AN138" i="32" s="1"/>
  <c r="O138" i="32"/>
  <c r="U138" i="32" s="1"/>
  <c r="L138" i="32"/>
  <c r="K138" i="32"/>
  <c r="AK137" i="32"/>
  <c r="AR137" i="32" s="1"/>
  <c r="Y137" i="32"/>
  <c r="AN137" i="32" s="1"/>
  <c r="O137" i="32"/>
  <c r="U137" i="32" s="1"/>
  <c r="L137" i="32"/>
  <c r="K137" i="32"/>
  <c r="I137" i="32" s="1"/>
  <c r="AN136" i="32"/>
  <c r="AK136" i="32"/>
  <c r="Y136" i="32"/>
  <c r="O136" i="32"/>
  <c r="U136" i="32" s="1"/>
  <c r="AA136" i="32" s="1"/>
  <c r="L136" i="32"/>
  <c r="K136" i="32"/>
  <c r="AK135" i="32"/>
  <c r="AR135" i="32" s="1"/>
  <c r="Y135" i="32"/>
  <c r="O135" i="32"/>
  <c r="U135" i="32" s="1"/>
  <c r="L135" i="32"/>
  <c r="K135" i="32"/>
  <c r="AQ134" i="32"/>
  <c r="AJ134" i="32"/>
  <c r="AI134" i="32"/>
  <c r="AH134" i="32"/>
  <c r="AG134" i="32"/>
  <c r="AF134" i="32"/>
  <c r="AE134" i="32"/>
  <c r="AC134" i="32"/>
  <c r="X134" i="32"/>
  <c r="W134" i="32"/>
  <c r="V134" i="32"/>
  <c r="T134" i="32"/>
  <c r="S134" i="32"/>
  <c r="R134" i="32"/>
  <c r="Q134" i="32"/>
  <c r="P134" i="32"/>
  <c r="N134" i="32"/>
  <c r="M134" i="32"/>
  <c r="K134" i="32"/>
  <c r="J134" i="32"/>
  <c r="AK133" i="32"/>
  <c r="AR133" i="32" s="1"/>
  <c r="Y133" i="32"/>
  <c r="AN133" i="32" s="1"/>
  <c r="U133" i="32"/>
  <c r="O133" i="32"/>
  <c r="L133" i="32"/>
  <c r="K133" i="32"/>
  <c r="AK132" i="32"/>
  <c r="AR132" i="32" s="1"/>
  <c r="Y132" i="32"/>
  <c r="U132" i="32"/>
  <c r="O132" i="32"/>
  <c r="L132" i="32"/>
  <c r="K132" i="32"/>
  <c r="I132" i="32" s="1"/>
  <c r="AK131" i="32"/>
  <c r="AR131" i="32" s="1"/>
  <c r="Y131" i="32"/>
  <c r="AN131" i="32" s="1"/>
  <c r="O131" i="32"/>
  <c r="U131" i="32" s="1"/>
  <c r="AM131" i="32" s="1"/>
  <c r="L131" i="32"/>
  <c r="K131" i="32"/>
  <c r="AN130" i="32"/>
  <c r="AK130" i="32"/>
  <c r="AR130" i="32" s="1"/>
  <c r="Y130" i="32"/>
  <c r="O130" i="32"/>
  <c r="U130" i="32" s="1"/>
  <c r="L130" i="32"/>
  <c r="K130" i="32"/>
  <c r="AQ129" i="32"/>
  <c r="AJ129" i="32"/>
  <c r="AI129" i="32"/>
  <c r="AH129" i="32"/>
  <c r="AG129" i="32"/>
  <c r="AF129" i="32"/>
  <c r="AE129" i="32"/>
  <c r="AC129" i="32"/>
  <c r="X129" i="32"/>
  <c r="W129" i="32"/>
  <c r="V129" i="32"/>
  <c r="T129" i="32"/>
  <c r="S129" i="32"/>
  <c r="R129" i="32"/>
  <c r="Q129" i="32"/>
  <c r="P129" i="32"/>
  <c r="N129" i="32"/>
  <c r="M129" i="32"/>
  <c r="J129" i="32"/>
  <c r="AK128" i="32"/>
  <c r="AR128" i="32" s="1"/>
  <c r="Y128" i="32"/>
  <c r="AN128" i="32" s="1"/>
  <c r="O128" i="32"/>
  <c r="U128" i="32" s="1"/>
  <c r="L128" i="32"/>
  <c r="K128" i="32"/>
  <c r="I128" i="32"/>
  <c r="AK127" i="32"/>
  <c r="AR127" i="32" s="1"/>
  <c r="Y127" i="32"/>
  <c r="AN127" i="32" s="1"/>
  <c r="O127" i="32"/>
  <c r="U127" i="32" s="1"/>
  <c r="AA127" i="32" s="1"/>
  <c r="L127" i="32"/>
  <c r="K127" i="32"/>
  <c r="I127" i="32" s="1"/>
  <c r="AK126" i="32"/>
  <c r="AR126" i="32" s="1"/>
  <c r="Y126" i="32"/>
  <c r="AN126" i="32" s="1"/>
  <c r="O126" i="32"/>
  <c r="U126" i="32" s="1"/>
  <c r="AM126" i="32" s="1"/>
  <c r="L126" i="32"/>
  <c r="K126" i="32"/>
  <c r="I126" i="32" s="1"/>
  <c r="AK125" i="32"/>
  <c r="Y125" i="32"/>
  <c r="O125" i="32"/>
  <c r="L125" i="32"/>
  <c r="L129" i="32" s="1"/>
  <c r="K125" i="32"/>
  <c r="I125" i="32" s="1"/>
  <c r="AQ124" i="32"/>
  <c r="AJ124" i="32"/>
  <c r="AI124" i="32"/>
  <c r="AH124" i="32"/>
  <c r="AG124" i="32"/>
  <c r="AF124" i="32"/>
  <c r="AE124" i="32"/>
  <c r="AC124" i="32"/>
  <c r="X124" i="32"/>
  <c r="W124" i="32"/>
  <c r="V124" i="32"/>
  <c r="T124" i="32"/>
  <c r="S124" i="32"/>
  <c r="R124" i="32"/>
  <c r="Q124" i="32"/>
  <c r="P124" i="32"/>
  <c r="N124" i="32"/>
  <c r="M124" i="32"/>
  <c r="J124" i="32"/>
  <c r="AK123" i="32"/>
  <c r="AR123" i="32" s="1"/>
  <c r="Y123" i="32"/>
  <c r="AN123" i="32" s="1"/>
  <c r="O123" i="32"/>
  <c r="U123" i="32" s="1"/>
  <c r="L123" i="32"/>
  <c r="I123" i="32" s="1"/>
  <c r="K123" i="32"/>
  <c r="AK122" i="32"/>
  <c r="AR122" i="32" s="1"/>
  <c r="Y122" i="32"/>
  <c r="AN122" i="32" s="1"/>
  <c r="O122" i="32"/>
  <c r="U122" i="32" s="1"/>
  <c r="AB122" i="32" s="1"/>
  <c r="L122" i="32"/>
  <c r="K122" i="32"/>
  <c r="AK121" i="32"/>
  <c r="AR121" i="32" s="1"/>
  <c r="Y121" i="32"/>
  <c r="O121" i="32"/>
  <c r="L121" i="32"/>
  <c r="K121" i="32"/>
  <c r="AK120" i="32"/>
  <c r="Y120" i="32"/>
  <c r="AN120" i="32" s="1"/>
  <c r="U120" i="32"/>
  <c r="AB120" i="32" s="1"/>
  <c r="O120" i="32"/>
  <c r="L120" i="32"/>
  <c r="K120" i="32"/>
  <c r="AQ119" i="32"/>
  <c r="AJ119" i="32"/>
  <c r="AI119" i="32"/>
  <c r="AH119" i="32"/>
  <c r="AG119" i="32"/>
  <c r="AE119" i="32"/>
  <c r="AC119" i="32"/>
  <c r="X119" i="32"/>
  <c r="W119" i="32"/>
  <c r="V119" i="32"/>
  <c r="T119" i="32"/>
  <c r="S119" i="32"/>
  <c r="R119" i="32"/>
  <c r="Q119" i="32"/>
  <c r="N119" i="32"/>
  <c r="M119" i="32"/>
  <c r="J119" i="32"/>
  <c r="Y118" i="32"/>
  <c r="AN118" i="32" s="1"/>
  <c r="P119" i="32"/>
  <c r="O118" i="32"/>
  <c r="U118" i="32" s="1"/>
  <c r="L118" i="32"/>
  <c r="K118" i="32"/>
  <c r="AK117" i="32"/>
  <c r="AR117" i="32" s="1"/>
  <c r="Y117" i="32"/>
  <c r="AN117" i="32" s="1"/>
  <c r="O117" i="32"/>
  <c r="U117" i="32" s="1"/>
  <c r="AM117" i="32" s="1"/>
  <c r="L117" i="32"/>
  <c r="K117" i="32"/>
  <c r="K119" i="32" s="1"/>
  <c r="AQ116" i="32"/>
  <c r="AJ116" i="32"/>
  <c r="AI116" i="32"/>
  <c r="AH116" i="32"/>
  <c r="AG116" i="32"/>
  <c r="AF116" i="32"/>
  <c r="AE116" i="32"/>
  <c r="AC116" i="32"/>
  <c r="X116" i="32"/>
  <c r="W116" i="32"/>
  <c r="V116" i="32"/>
  <c r="T116" i="32"/>
  <c r="S116" i="32"/>
  <c r="R116" i="32"/>
  <c r="Q116" i="32"/>
  <c r="P116" i="32"/>
  <c r="N116" i="32"/>
  <c r="M116" i="32"/>
  <c r="J116" i="32"/>
  <c r="AK115" i="32"/>
  <c r="Y115" i="32"/>
  <c r="Y116" i="32" s="1"/>
  <c r="O115" i="32"/>
  <c r="U115" i="32" s="1"/>
  <c r="U116" i="32" s="1"/>
  <c r="L115" i="32"/>
  <c r="K115" i="32"/>
  <c r="K116" i="32" s="1"/>
  <c r="AQ114" i="32"/>
  <c r="AJ114" i="32"/>
  <c r="AI114" i="32"/>
  <c r="AH114" i="32"/>
  <c r="AG114" i="32"/>
  <c r="AF114" i="32"/>
  <c r="AE114" i="32"/>
  <c r="AC114" i="32"/>
  <c r="X114" i="32"/>
  <c r="W114" i="32"/>
  <c r="V114" i="32"/>
  <c r="T114" i="32"/>
  <c r="S114" i="32"/>
  <c r="R114" i="32"/>
  <c r="Q114" i="32"/>
  <c r="P114" i="32"/>
  <c r="N114" i="32"/>
  <c r="M114" i="32"/>
  <c r="J114" i="32"/>
  <c r="AN113" i="32"/>
  <c r="AK113" i="32"/>
  <c r="AR113" i="32" s="1"/>
  <c r="Y113" i="32"/>
  <c r="O113" i="32"/>
  <c r="U113" i="32" s="1"/>
  <c r="L113" i="32"/>
  <c r="K113" i="32"/>
  <c r="I113" i="32" s="1"/>
  <c r="AK112" i="32"/>
  <c r="AR112" i="32" s="1"/>
  <c r="Y112" i="32"/>
  <c r="AN112" i="32" s="1"/>
  <c r="O112" i="32"/>
  <c r="U112" i="32" s="1"/>
  <c r="L112" i="32"/>
  <c r="K112" i="32"/>
  <c r="AK111" i="32"/>
  <c r="AR111" i="32" s="1"/>
  <c r="Y111" i="32"/>
  <c r="AN111" i="32" s="1"/>
  <c r="U111" i="32"/>
  <c r="AA111" i="32" s="1"/>
  <c r="O111" i="32"/>
  <c r="L111" i="32"/>
  <c r="K111" i="32"/>
  <c r="I111" i="32" s="1"/>
  <c r="AK110" i="32"/>
  <c r="Y110" i="32"/>
  <c r="O110" i="32"/>
  <c r="L110" i="32"/>
  <c r="L114" i="32" s="1"/>
  <c r="K110" i="32"/>
  <c r="AQ109" i="32"/>
  <c r="AJ109" i="32"/>
  <c r="AI109" i="32"/>
  <c r="AH109" i="32"/>
  <c r="AG109" i="32"/>
  <c r="AF109" i="32"/>
  <c r="AE109" i="32"/>
  <c r="AC109" i="32"/>
  <c r="X109" i="32"/>
  <c r="W109" i="32"/>
  <c r="V109" i="32"/>
  <c r="T109" i="32"/>
  <c r="S109" i="32"/>
  <c r="R109" i="32"/>
  <c r="Q109" i="32"/>
  <c r="P109" i="32"/>
  <c r="N109" i="32"/>
  <c r="M109" i="32"/>
  <c r="J109" i="32"/>
  <c r="AK108" i="32"/>
  <c r="Y108" i="32"/>
  <c r="AN108" i="32" s="1"/>
  <c r="O108" i="32"/>
  <c r="U108" i="32" s="1"/>
  <c r="L108" i="32"/>
  <c r="K108" i="32"/>
  <c r="AK107" i="32"/>
  <c r="AR107" i="32" s="1"/>
  <c r="Y107" i="32"/>
  <c r="AN107" i="32" s="1"/>
  <c r="O107" i="32"/>
  <c r="U107" i="32" s="1"/>
  <c r="AA107" i="32" s="1"/>
  <c r="L107" i="32"/>
  <c r="K107" i="32"/>
  <c r="AK106" i="32"/>
  <c r="AR106" i="32" s="1"/>
  <c r="Y106" i="32"/>
  <c r="AN106" i="32" s="1"/>
  <c r="O106" i="32"/>
  <c r="U106" i="32" s="1"/>
  <c r="L106" i="32"/>
  <c r="K106" i="32"/>
  <c r="AR105" i="32"/>
  <c r="AK105" i="32"/>
  <c r="Y105" i="32"/>
  <c r="AN105" i="32" s="1"/>
  <c r="O105" i="32"/>
  <c r="L105" i="32"/>
  <c r="K105" i="32"/>
  <c r="AQ104" i="32"/>
  <c r="AJ104" i="32"/>
  <c r="AI104" i="32"/>
  <c r="AH104" i="32"/>
  <c r="AG104" i="32"/>
  <c r="AF104" i="32"/>
  <c r="AE104" i="32"/>
  <c r="AC104" i="32"/>
  <c r="X104" i="32"/>
  <c r="W104" i="32"/>
  <c r="V104" i="32"/>
  <c r="T104" i="32"/>
  <c r="S104" i="32"/>
  <c r="R104" i="32"/>
  <c r="Q104" i="32"/>
  <c r="P104" i="32"/>
  <c r="N104" i="32"/>
  <c r="M104" i="32"/>
  <c r="J104" i="32"/>
  <c r="AK103" i="32"/>
  <c r="AR103" i="32" s="1"/>
  <c r="Y103" i="32"/>
  <c r="AN103" i="32" s="1"/>
  <c r="O103" i="32"/>
  <c r="U103" i="32" s="1"/>
  <c r="AM103" i="32" s="1"/>
  <c r="L103" i="32"/>
  <c r="K103" i="32"/>
  <c r="AK102" i="32"/>
  <c r="AR102" i="32" s="1"/>
  <c r="Y102" i="32"/>
  <c r="AN102" i="32" s="1"/>
  <c r="U102" i="32"/>
  <c r="O102" i="32"/>
  <c r="L102" i="32"/>
  <c r="K102" i="32"/>
  <c r="AK101" i="32"/>
  <c r="Y101" i="32"/>
  <c r="AN101" i="32" s="1"/>
  <c r="O101" i="32"/>
  <c r="U101" i="32" s="1"/>
  <c r="AM101" i="32" s="1"/>
  <c r="L101" i="32"/>
  <c r="L104" i="32" s="1"/>
  <c r="K101" i="32"/>
  <c r="AQ100" i="32"/>
  <c r="AJ100" i="32"/>
  <c r="AI100" i="32"/>
  <c r="AH100" i="32"/>
  <c r="AG100" i="32"/>
  <c r="AF100" i="32"/>
  <c r="AE100" i="32"/>
  <c r="AC100" i="32"/>
  <c r="X100" i="32"/>
  <c r="W100" i="32"/>
  <c r="V100" i="32"/>
  <c r="T100" i="32"/>
  <c r="S100" i="32"/>
  <c r="R100" i="32"/>
  <c r="Q100" i="32"/>
  <c r="P100" i="32"/>
  <c r="N100" i="32"/>
  <c r="M100" i="32"/>
  <c r="J100" i="32"/>
  <c r="AK99" i="32"/>
  <c r="AR99" i="32" s="1"/>
  <c r="Y99" i="32"/>
  <c r="AN99" i="32" s="1"/>
  <c r="O99" i="32"/>
  <c r="U99" i="32" s="1"/>
  <c r="AM99" i="32" s="1"/>
  <c r="L99" i="32"/>
  <c r="K99" i="32"/>
  <c r="AN98" i="32"/>
  <c r="AK98" i="32"/>
  <c r="AR98" i="32" s="1"/>
  <c r="AR100" i="32" s="1"/>
  <c r="Y98" i="32"/>
  <c r="O98" i="32"/>
  <c r="U98" i="32" s="1"/>
  <c r="L98" i="32"/>
  <c r="K98" i="32"/>
  <c r="K100" i="32" s="1"/>
  <c r="AQ97" i="32"/>
  <c r="AJ97" i="32"/>
  <c r="AI97" i="32"/>
  <c r="AH97" i="32"/>
  <c r="AG97" i="32"/>
  <c r="AF97" i="32"/>
  <c r="AE97" i="32"/>
  <c r="AC97" i="32"/>
  <c r="X97" i="32"/>
  <c r="W97" i="32"/>
  <c r="V97" i="32"/>
  <c r="T97" i="32"/>
  <c r="S97" i="32"/>
  <c r="R97" i="32"/>
  <c r="Q97" i="32"/>
  <c r="P97" i="32"/>
  <c r="N97" i="32"/>
  <c r="M97" i="32"/>
  <c r="J97" i="32"/>
  <c r="AK96" i="32"/>
  <c r="AR96" i="32" s="1"/>
  <c r="Y96" i="32"/>
  <c r="AN96" i="32" s="1"/>
  <c r="O96" i="32"/>
  <c r="U96" i="32" s="1"/>
  <c r="L96" i="32"/>
  <c r="K96" i="32"/>
  <c r="AK95" i="32"/>
  <c r="Y95" i="32"/>
  <c r="O95" i="32"/>
  <c r="U95" i="32" s="1"/>
  <c r="AM95" i="32" s="1"/>
  <c r="L95" i="32"/>
  <c r="K95" i="32"/>
  <c r="AR94" i="32"/>
  <c r="AK94" i="32"/>
  <c r="Y94" i="32"/>
  <c r="O94" i="32"/>
  <c r="L94" i="32"/>
  <c r="K94" i="32"/>
  <c r="AN93" i="32"/>
  <c r="AK93" i="32"/>
  <c r="AR93" i="32" s="1"/>
  <c r="Y93" i="32"/>
  <c r="O93" i="32"/>
  <c r="U93" i="32" s="1"/>
  <c r="L93" i="32"/>
  <c r="K93" i="32"/>
  <c r="AQ92" i="32"/>
  <c r="AJ92" i="32"/>
  <c r="AI92" i="32"/>
  <c r="AH92" i="32"/>
  <c r="AG92" i="32"/>
  <c r="AF92" i="32"/>
  <c r="AE92" i="32"/>
  <c r="AC92" i="32"/>
  <c r="X92" i="32"/>
  <c r="W92" i="32"/>
  <c r="V92" i="32"/>
  <c r="T92" i="32"/>
  <c r="S92" i="32"/>
  <c r="R92" i="32"/>
  <c r="Q92" i="32"/>
  <c r="P92" i="32"/>
  <c r="N92" i="32"/>
  <c r="M92" i="32"/>
  <c r="K92" i="32"/>
  <c r="J92" i="32"/>
  <c r="AK91" i="32"/>
  <c r="AR91" i="32" s="1"/>
  <c r="Y91" i="32"/>
  <c r="AN91" i="32" s="1"/>
  <c r="O91" i="32"/>
  <c r="U91" i="32" s="1"/>
  <c r="Z91" i="32" s="1"/>
  <c r="L91" i="32"/>
  <c r="K91" i="32"/>
  <c r="AK90" i="32"/>
  <c r="AK92" i="32" s="1"/>
  <c r="Y90" i="32"/>
  <c r="O90" i="32"/>
  <c r="U90" i="32" s="1"/>
  <c r="L90" i="32"/>
  <c r="K90" i="32"/>
  <c r="AQ89" i="32"/>
  <c r="AJ89" i="32"/>
  <c r="AI89" i="32"/>
  <c r="AH89" i="32"/>
  <c r="AG89" i="32"/>
  <c r="AF89" i="32"/>
  <c r="AE89" i="32"/>
  <c r="AC89" i="32"/>
  <c r="X89" i="32"/>
  <c r="W89" i="32"/>
  <c r="V89" i="32"/>
  <c r="T89" i="32"/>
  <c r="S89" i="32"/>
  <c r="R89" i="32"/>
  <c r="Q89" i="32"/>
  <c r="P89" i="32"/>
  <c r="N89" i="32"/>
  <c r="M89" i="32"/>
  <c r="J89" i="32"/>
  <c r="AR88" i="32"/>
  <c r="AK88" i="32"/>
  <c r="AK89" i="32" s="1"/>
  <c r="Y88" i="32"/>
  <c r="O88" i="32"/>
  <c r="L88" i="32"/>
  <c r="I88" i="32" s="1"/>
  <c r="K88" i="32"/>
  <c r="K89" i="32" s="1"/>
  <c r="AQ87" i="32"/>
  <c r="AJ87" i="32"/>
  <c r="AI87" i="32"/>
  <c r="AH87" i="32"/>
  <c r="AG87" i="32"/>
  <c r="AF87" i="32"/>
  <c r="AE87" i="32"/>
  <c r="AC87" i="32"/>
  <c r="X87" i="32"/>
  <c r="W87" i="32"/>
  <c r="V87" i="32"/>
  <c r="T87" i="32"/>
  <c r="S87" i="32"/>
  <c r="R87" i="32"/>
  <c r="Q87" i="32"/>
  <c r="P87" i="32"/>
  <c r="N87" i="32"/>
  <c r="M87" i="32"/>
  <c r="J87" i="32"/>
  <c r="AK86" i="32"/>
  <c r="AR86" i="32" s="1"/>
  <c r="Y86" i="32"/>
  <c r="O86" i="32"/>
  <c r="U86" i="32" s="1"/>
  <c r="L86" i="32"/>
  <c r="K86" i="32"/>
  <c r="AK85" i="32"/>
  <c r="AR85" i="32" s="1"/>
  <c r="Y85" i="32"/>
  <c r="AN85" i="32" s="1"/>
  <c r="U85" i="32"/>
  <c r="AM85" i="32" s="1"/>
  <c r="O85" i="32"/>
  <c r="L85" i="32"/>
  <c r="K85" i="32"/>
  <c r="I85" i="32" s="1"/>
  <c r="AK84" i="32"/>
  <c r="AR84" i="32" s="1"/>
  <c r="Y84" i="32"/>
  <c r="AN84" i="32" s="1"/>
  <c r="O84" i="32"/>
  <c r="U84" i="32" s="1"/>
  <c r="L84" i="32"/>
  <c r="I84" i="32" s="1"/>
  <c r="K84" i="32"/>
  <c r="AK83" i="32"/>
  <c r="Y83" i="32"/>
  <c r="AN83" i="32" s="1"/>
  <c r="AN234" i="32" s="1"/>
  <c r="U83" i="32"/>
  <c r="AB83" i="32" s="1"/>
  <c r="O83" i="32"/>
  <c r="L83" i="32"/>
  <c r="K83" i="32"/>
  <c r="AK82" i="32"/>
  <c r="AR82" i="32" s="1"/>
  <c r="Y82" i="32"/>
  <c r="AN82" i="32" s="1"/>
  <c r="O82" i="32"/>
  <c r="U82" i="32" s="1"/>
  <c r="AB82" i="32" s="1"/>
  <c r="L82" i="32"/>
  <c r="K82" i="32"/>
  <c r="AK81" i="32"/>
  <c r="AR81" i="32" s="1"/>
  <c r="Y81" i="32"/>
  <c r="AN81" i="32" s="1"/>
  <c r="O81" i="32"/>
  <c r="U81" i="32" s="1"/>
  <c r="L81" i="32"/>
  <c r="I81" i="32" s="1"/>
  <c r="K81" i="32"/>
  <c r="AK80" i="32"/>
  <c r="Y80" i="32"/>
  <c r="AN80" i="32" s="1"/>
  <c r="O80" i="32"/>
  <c r="U80" i="32" s="1"/>
  <c r="L80" i="32"/>
  <c r="K80" i="32"/>
  <c r="AK79" i="32"/>
  <c r="AR79" i="32" s="1"/>
  <c r="Y79" i="32"/>
  <c r="AN79" i="32" s="1"/>
  <c r="O79" i="32"/>
  <c r="U79" i="32" s="1"/>
  <c r="AM79" i="32" s="1"/>
  <c r="L79" i="32"/>
  <c r="K79" i="32"/>
  <c r="AK78" i="32"/>
  <c r="AR78" i="32" s="1"/>
  <c r="Y78" i="32"/>
  <c r="O78" i="32"/>
  <c r="U78" i="32" s="1"/>
  <c r="L78" i="32"/>
  <c r="K78" i="32"/>
  <c r="AQ77" i="32"/>
  <c r="AJ77" i="32"/>
  <c r="AI77" i="32"/>
  <c r="AH77" i="32"/>
  <c r="AG77" i="32"/>
  <c r="AF77" i="32"/>
  <c r="AE77" i="32"/>
  <c r="AC77" i="32"/>
  <c r="X77" i="32"/>
  <c r="W77" i="32"/>
  <c r="V77" i="32"/>
  <c r="T77" i="32"/>
  <c r="S77" i="32"/>
  <c r="R77" i="32"/>
  <c r="Q77" i="32"/>
  <c r="N77" i="32"/>
  <c r="M77" i="32"/>
  <c r="J77" i="32"/>
  <c r="AK76" i="32"/>
  <c r="AR76" i="32" s="1"/>
  <c r="Y76" i="32"/>
  <c r="AN76" i="32" s="1"/>
  <c r="O76" i="32"/>
  <c r="U76" i="32" s="1"/>
  <c r="L76" i="32"/>
  <c r="K76" i="32"/>
  <c r="AK75" i="32"/>
  <c r="AR75" i="32" s="1"/>
  <c r="Y75" i="32"/>
  <c r="AN75" i="32" s="1"/>
  <c r="P77" i="32"/>
  <c r="O75" i="32"/>
  <c r="U75" i="32" s="1"/>
  <c r="AM75" i="32" s="1"/>
  <c r="L75" i="32"/>
  <c r="K75" i="32"/>
  <c r="AK74" i="32"/>
  <c r="Y74" i="32"/>
  <c r="AN74" i="32" s="1"/>
  <c r="O74" i="32"/>
  <c r="U74" i="32" s="1"/>
  <c r="L74" i="32"/>
  <c r="K74" i="32"/>
  <c r="AK73" i="32"/>
  <c r="AR73" i="32" s="1"/>
  <c r="Y73" i="32"/>
  <c r="AN73" i="32" s="1"/>
  <c r="O73" i="32"/>
  <c r="L73" i="32"/>
  <c r="K73" i="32"/>
  <c r="AQ72" i="32"/>
  <c r="AJ72" i="32"/>
  <c r="AI72" i="32"/>
  <c r="AH72" i="32"/>
  <c r="AG72" i="32"/>
  <c r="AE72" i="32"/>
  <c r="AC72" i="32"/>
  <c r="X72" i="32"/>
  <c r="W72" i="32"/>
  <c r="V72" i="32"/>
  <c r="T72" i="32"/>
  <c r="S72" i="32"/>
  <c r="R72" i="32"/>
  <c r="Q72" i="32"/>
  <c r="P72" i="32"/>
  <c r="N72" i="32"/>
  <c r="M72" i="32"/>
  <c r="J72" i="32"/>
  <c r="AK71" i="32"/>
  <c r="AR71" i="32" s="1"/>
  <c r="Y71" i="32"/>
  <c r="O71" i="32"/>
  <c r="U71" i="32" s="1"/>
  <c r="L71" i="32"/>
  <c r="K71" i="32"/>
  <c r="AK70" i="32"/>
  <c r="AK72" i="32" s="1"/>
  <c r="AF70" i="32"/>
  <c r="AF72" i="32" s="1"/>
  <c r="Y70" i="32"/>
  <c r="P70" i="32"/>
  <c r="O70" i="32"/>
  <c r="U70" i="32" s="1"/>
  <c r="L70" i="32"/>
  <c r="K70" i="32"/>
  <c r="AK69" i="32"/>
  <c r="AR69" i="32" s="1"/>
  <c r="Y69" i="32"/>
  <c r="O69" i="32"/>
  <c r="U69" i="32" s="1"/>
  <c r="L69" i="32"/>
  <c r="K69" i="32"/>
  <c r="AQ68" i="32"/>
  <c r="AJ68" i="32"/>
  <c r="AI68" i="32"/>
  <c r="AH68" i="32"/>
  <c r="AG68" i="32"/>
  <c r="AF68" i="32"/>
  <c r="AE68" i="32"/>
  <c r="AC68" i="32"/>
  <c r="X68" i="32"/>
  <c r="W68" i="32"/>
  <c r="V68" i="32"/>
  <c r="T68" i="32"/>
  <c r="S68" i="32"/>
  <c r="R68" i="32"/>
  <c r="Q68" i="32"/>
  <c r="P68" i="32"/>
  <c r="N68" i="32"/>
  <c r="M68" i="32"/>
  <c r="J68" i="32"/>
  <c r="AK67" i="32"/>
  <c r="AR67" i="32" s="1"/>
  <c r="Y67" i="32"/>
  <c r="O67" i="32"/>
  <c r="U67" i="32" s="1"/>
  <c r="AM67" i="32" s="1"/>
  <c r="L67" i="32"/>
  <c r="K67" i="32"/>
  <c r="I67" i="32" s="1"/>
  <c r="AR66" i="32"/>
  <c r="AN66" i="32"/>
  <c r="AK66" i="32"/>
  <c r="Y66" i="32"/>
  <c r="O66" i="32"/>
  <c r="U66" i="32" s="1"/>
  <c r="Z66" i="32" s="1"/>
  <c r="L66" i="32"/>
  <c r="K66" i="32"/>
  <c r="I66" i="32"/>
  <c r="AK65" i="32"/>
  <c r="AR65" i="32" s="1"/>
  <c r="Y65" i="32"/>
  <c r="AN65" i="32" s="1"/>
  <c r="O65" i="32"/>
  <c r="U65" i="32" s="1"/>
  <c r="L65" i="32"/>
  <c r="K65" i="32"/>
  <c r="I65" i="32" s="1"/>
  <c r="AK64" i="32"/>
  <c r="AR64" i="32" s="1"/>
  <c r="Y64" i="32"/>
  <c r="O64" i="32"/>
  <c r="U64" i="32" s="1"/>
  <c r="AA64" i="32" s="1"/>
  <c r="AO64" i="32" s="1"/>
  <c r="L64" i="32"/>
  <c r="L68" i="32" s="1"/>
  <c r="K64" i="32"/>
  <c r="AQ63" i="32"/>
  <c r="AJ63" i="32"/>
  <c r="AI63" i="32"/>
  <c r="AH63" i="32"/>
  <c r="AG63" i="32"/>
  <c r="AE63" i="32"/>
  <c r="AC63" i="32"/>
  <c r="X63" i="32"/>
  <c r="W63" i="32"/>
  <c r="V63" i="32"/>
  <c r="T63" i="32"/>
  <c r="S63" i="32"/>
  <c r="R63" i="32"/>
  <c r="Q63" i="32"/>
  <c r="P63" i="32"/>
  <c r="N63" i="32"/>
  <c r="M63" i="32"/>
  <c r="J63" i="32"/>
  <c r="AK62" i="32"/>
  <c r="AR62" i="32" s="1"/>
  <c r="Y62" i="32"/>
  <c r="AN62" i="32" s="1"/>
  <c r="U62" i="32"/>
  <c r="Z62" i="32" s="1"/>
  <c r="O62" i="32"/>
  <c r="L62" i="32"/>
  <c r="K62" i="32"/>
  <c r="I62" i="32" s="1"/>
  <c r="AF61" i="32"/>
  <c r="Y61" i="32"/>
  <c r="AN61" i="32" s="1"/>
  <c r="U61" i="32"/>
  <c r="AB61" i="32" s="1"/>
  <c r="P61" i="32"/>
  <c r="O61" i="32"/>
  <c r="L61" i="32"/>
  <c r="K61" i="32"/>
  <c r="AN60" i="32"/>
  <c r="AK60" i="32"/>
  <c r="AR60" i="32" s="1"/>
  <c r="AB60" i="32"/>
  <c r="Y60" i="32"/>
  <c r="O60" i="32"/>
  <c r="U60" i="32" s="1"/>
  <c r="L60" i="32"/>
  <c r="K60" i="32"/>
  <c r="AK59" i="32"/>
  <c r="AR59" i="32" s="1"/>
  <c r="Y59" i="32"/>
  <c r="Y63" i="32" s="1"/>
  <c r="O59" i="32"/>
  <c r="L59" i="32"/>
  <c r="K59" i="32"/>
  <c r="I59" i="32"/>
  <c r="AQ58" i="32"/>
  <c r="AJ58" i="32"/>
  <c r="AI58" i="32"/>
  <c r="AH58" i="32"/>
  <c r="AG58" i="32"/>
  <c r="AF58" i="32"/>
  <c r="AE58" i="32"/>
  <c r="AC58" i="32"/>
  <c r="X58" i="32"/>
  <c r="W58" i="32"/>
  <c r="V58" i="32"/>
  <c r="T58" i="32"/>
  <c r="S58" i="32"/>
  <c r="R58" i="32"/>
  <c r="Q58" i="32"/>
  <c r="P58" i="32"/>
  <c r="N58" i="32"/>
  <c r="M58" i="32"/>
  <c r="J58" i="32"/>
  <c r="AK57" i="32"/>
  <c r="AR57" i="32" s="1"/>
  <c r="Y57" i="32"/>
  <c r="AN57" i="32" s="1"/>
  <c r="O57" i="32"/>
  <c r="U57" i="32" s="1"/>
  <c r="L57" i="32"/>
  <c r="I57" i="32" s="1"/>
  <c r="K57" i="32"/>
  <c r="AK56" i="32"/>
  <c r="AR56" i="32" s="1"/>
  <c r="Y56" i="32"/>
  <c r="AN56" i="32" s="1"/>
  <c r="O56" i="32"/>
  <c r="U56" i="32" s="1"/>
  <c r="L56" i="32"/>
  <c r="K56" i="32"/>
  <c r="AK55" i="32"/>
  <c r="AR55" i="32" s="1"/>
  <c r="Y55" i="32"/>
  <c r="AN55" i="32" s="1"/>
  <c r="O55" i="32"/>
  <c r="U55" i="32" s="1"/>
  <c r="AM55" i="32" s="1"/>
  <c r="I55" i="32"/>
  <c r="AK54" i="32"/>
  <c r="Y54" i="32"/>
  <c r="O54" i="32"/>
  <c r="L54" i="32"/>
  <c r="K54" i="32"/>
  <c r="AQ53" i="32"/>
  <c r="AJ53" i="32"/>
  <c r="AI53" i="32"/>
  <c r="AH53" i="32"/>
  <c r="AG53" i="32"/>
  <c r="AF53" i="32"/>
  <c r="AE53" i="32"/>
  <c r="AC53" i="32"/>
  <c r="X53" i="32"/>
  <c r="W53" i="32"/>
  <c r="V53" i="32"/>
  <c r="T53" i="32"/>
  <c r="S53" i="32"/>
  <c r="R53" i="32"/>
  <c r="Q53" i="32"/>
  <c r="N53" i="32"/>
  <c r="M53" i="32"/>
  <c r="J53" i="32"/>
  <c r="AK52" i="32"/>
  <c r="AR52" i="32" s="1"/>
  <c r="Y52" i="32"/>
  <c r="AN52" i="32" s="1"/>
  <c r="O52" i="32"/>
  <c r="U52" i="32" s="1"/>
  <c r="AM52" i="32" s="1"/>
  <c r="L52" i="32"/>
  <c r="K52" i="32"/>
  <c r="AK51" i="32"/>
  <c r="AR51" i="32" s="1"/>
  <c r="Y51" i="32"/>
  <c r="O51" i="32"/>
  <c r="U51" i="32" s="1"/>
  <c r="AM51" i="32" s="1"/>
  <c r="L51" i="32"/>
  <c r="K51" i="32"/>
  <c r="AK50" i="32"/>
  <c r="AF50" i="32"/>
  <c r="Y50" i="32"/>
  <c r="AN50" i="32" s="1"/>
  <c r="P50" i="32"/>
  <c r="P53" i="32" s="1"/>
  <c r="O50" i="32"/>
  <c r="U50" i="32" s="1"/>
  <c r="AM50" i="32" s="1"/>
  <c r="L50" i="32"/>
  <c r="K50" i="32"/>
  <c r="AN49" i="32"/>
  <c r="AK49" i="32"/>
  <c r="AR49" i="32" s="1"/>
  <c r="Y49" i="32"/>
  <c r="O49" i="32"/>
  <c r="U49" i="32" s="1"/>
  <c r="AM49" i="32" s="1"/>
  <c r="L49" i="32"/>
  <c r="K49" i="32"/>
  <c r="AK48" i="32"/>
  <c r="AR48" i="32" s="1"/>
  <c r="Y48" i="32"/>
  <c r="AN48" i="32" s="1"/>
  <c r="O48" i="32"/>
  <c r="L48" i="32"/>
  <c r="K48" i="32"/>
  <c r="AQ47" i="32"/>
  <c r="AJ47" i="32"/>
  <c r="AI47" i="32"/>
  <c r="AH47" i="32"/>
  <c r="AG47" i="32"/>
  <c r="AF47" i="32"/>
  <c r="AE47" i="32"/>
  <c r="AC47" i="32"/>
  <c r="X47" i="32"/>
  <c r="W47" i="32"/>
  <c r="V47" i="32"/>
  <c r="T47" i="32"/>
  <c r="S47" i="32"/>
  <c r="R47" i="32"/>
  <c r="Q47" i="32"/>
  <c r="N47" i="32"/>
  <c r="M47" i="32"/>
  <c r="J47" i="32"/>
  <c r="AK46" i="32"/>
  <c r="AR46" i="32" s="1"/>
  <c r="Y46" i="32"/>
  <c r="AN46" i="32" s="1"/>
  <c r="O46" i="32"/>
  <c r="U46" i="32" s="1"/>
  <c r="AB46" i="32" s="1"/>
  <c r="L46" i="32"/>
  <c r="K46" i="32"/>
  <c r="I46" i="32" s="1"/>
  <c r="AN45" i="32"/>
  <c r="AK45" i="32"/>
  <c r="AR45" i="32" s="1"/>
  <c r="Y45" i="32"/>
  <c r="U45" i="32"/>
  <c r="AA45" i="32" s="1"/>
  <c r="O45" i="32"/>
  <c r="L45" i="32"/>
  <c r="K45" i="32"/>
  <c r="AK44" i="32"/>
  <c r="AR44" i="32" s="1"/>
  <c r="Y44" i="32"/>
  <c r="AN44" i="32" s="1"/>
  <c r="P47" i="32"/>
  <c r="O44" i="32"/>
  <c r="L44" i="32"/>
  <c r="K44" i="32"/>
  <c r="AK43" i="32"/>
  <c r="AR43" i="32" s="1"/>
  <c r="Y43" i="32"/>
  <c r="AN43" i="32" s="1"/>
  <c r="O43" i="32"/>
  <c r="L43" i="32"/>
  <c r="K43" i="32"/>
  <c r="AK42" i="32"/>
  <c r="AR42" i="32" s="1"/>
  <c r="Y42" i="32"/>
  <c r="O42" i="32"/>
  <c r="U42" i="32" s="1"/>
  <c r="L42" i="32"/>
  <c r="K42" i="32"/>
  <c r="I42" i="32" s="1"/>
  <c r="AQ41" i="32"/>
  <c r="AJ41" i="32"/>
  <c r="AI41" i="32"/>
  <c r="AH41" i="32"/>
  <c r="AG41" i="32"/>
  <c r="AE41" i="32"/>
  <c r="AC41" i="32"/>
  <c r="X41" i="32"/>
  <c r="W41" i="32"/>
  <c r="V41" i="32"/>
  <c r="T41" i="32"/>
  <c r="S41" i="32"/>
  <c r="R41" i="32"/>
  <c r="Q41" i="32"/>
  <c r="N41" i="32"/>
  <c r="M41" i="32"/>
  <c r="J41" i="32"/>
  <c r="AK40" i="32"/>
  <c r="Y40" i="32"/>
  <c r="O40" i="32"/>
  <c r="L40" i="32"/>
  <c r="K40" i="32"/>
  <c r="AK39" i="32"/>
  <c r="AR39" i="32" s="1"/>
  <c r="AF39" i="32"/>
  <c r="Y39" i="32"/>
  <c r="AN39" i="32" s="1"/>
  <c r="P39" i="32"/>
  <c r="O39" i="32"/>
  <c r="L39" i="32"/>
  <c r="K39" i="32"/>
  <c r="AK38" i="32"/>
  <c r="Y38" i="32"/>
  <c r="O38" i="32"/>
  <c r="L38" i="32"/>
  <c r="K38" i="32"/>
  <c r="AN37" i="32"/>
  <c r="AK37" i="32"/>
  <c r="AR37" i="32" s="1"/>
  <c r="Y37" i="32"/>
  <c r="O37" i="32"/>
  <c r="U37" i="32" s="1"/>
  <c r="L37" i="32"/>
  <c r="K37" i="32"/>
  <c r="I37" i="32"/>
  <c r="AQ36" i="32"/>
  <c r="AJ36" i="32"/>
  <c r="AI36" i="32"/>
  <c r="AH36" i="32"/>
  <c r="AG36" i="32"/>
  <c r="AF36" i="32"/>
  <c r="AE36" i="32"/>
  <c r="AC36" i="32"/>
  <c r="X36" i="32"/>
  <c r="W36" i="32"/>
  <c r="V36" i="32"/>
  <c r="T36" i="32"/>
  <c r="S36" i="32"/>
  <c r="R36" i="32"/>
  <c r="Q36" i="32"/>
  <c r="P36" i="32"/>
  <c r="N36" i="32"/>
  <c r="M36" i="32"/>
  <c r="J36" i="32"/>
  <c r="AK35" i="32"/>
  <c r="AR35" i="32" s="1"/>
  <c r="AB35" i="32"/>
  <c r="Y35" i="32"/>
  <c r="O35" i="32"/>
  <c r="U35" i="32" s="1"/>
  <c r="AM35" i="32" s="1"/>
  <c r="L35" i="32"/>
  <c r="I35" i="32" s="1"/>
  <c r="K35" i="32"/>
  <c r="AK34" i="32"/>
  <c r="AR34" i="32" s="1"/>
  <c r="Y34" i="32"/>
  <c r="AN34" i="32" s="1"/>
  <c r="O34" i="32"/>
  <c r="U34" i="32" s="1"/>
  <c r="L34" i="32"/>
  <c r="K34" i="32"/>
  <c r="K36" i="32" s="1"/>
  <c r="AQ33" i="32"/>
  <c r="AJ33" i="32"/>
  <c r="AI33" i="32"/>
  <c r="AH33" i="32"/>
  <c r="AG33" i="32"/>
  <c r="AF33" i="32"/>
  <c r="AE33" i="32"/>
  <c r="AC33" i="32"/>
  <c r="X33" i="32"/>
  <c r="W33" i="32"/>
  <c r="V33" i="32"/>
  <c r="T33" i="32"/>
  <c r="S33" i="32"/>
  <c r="R33" i="32"/>
  <c r="Q33" i="32"/>
  <c r="P33" i="32"/>
  <c r="N33" i="32"/>
  <c r="M33" i="32"/>
  <c r="J33" i="32"/>
  <c r="AK32" i="32"/>
  <c r="AR32" i="32" s="1"/>
  <c r="Y32" i="32"/>
  <c r="AN32" i="32" s="1"/>
  <c r="O32" i="32"/>
  <c r="L32" i="32"/>
  <c r="K32" i="32"/>
  <c r="AK31" i="32"/>
  <c r="AR31" i="32" s="1"/>
  <c r="Y31" i="32"/>
  <c r="AN31" i="32" s="1"/>
  <c r="O31" i="32"/>
  <c r="U31" i="32" s="1"/>
  <c r="L31" i="32"/>
  <c r="L33" i="32" s="1"/>
  <c r="K31" i="32"/>
  <c r="I31" i="32" s="1"/>
  <c r="AQ30" i="32"/>
  <c r="AJ30" i="32"/>
  <c r="AI30" i="32"/>
  <c r="AH30" i="32"/>
  <c r="AG30" i="32"/>
  <c r="AF30" i="32"/>
  <c r="AE30" i="32"/>
  <c r="AC30" i="32"/>
  <c r="X30" i="32"/>
  <c r="W30" i="32"/>
  <c r="V30" i="32"/>
  <c r="T30" i="32"/>
  <c r="S30" i="32"/>
  <c r="R30" i="32"/>
  <c r="Q30" i="32"/>
  <c r="N30" i="32"/>
  <c r="M30" i="32"/>
  <c r="J30" i="32"/>
  <c r="AK29" i="32"/>
  <c r="AR29" i="32" s="1"/>
  <c r="Y29" i="32"/>
  <c r="AN29" i="32" s="1"/>
  <c r="P30" i="32"/>
  <c r="O29" i="32"/>
  <c r="U29" i="32" s="1"/>
  <c r="L29" i="32"/>
  <c r="K29" i="32"/>
  <c r="AK28" i="32"/>
  <c r="Y28" i="32"/>
  <c r="AN28" i="32" s="1"/>
  <c r="O28" i="32"/>
  <c r="U28" i="32" s="1"/>
  <c r="L28" i="32"/>
  <c r="K28" i="32"/>
  <c r="AQ27" i="32"/>
  <c r="AJ27" i="32"/>
  <c r="AI27" i="32"/>
  <c r="AH27" i="32"/>
  <c r="AG27" i="32"/>
  <c r="AF27" i="32"/>
  <c r="AE27" i="32"/>
  <c r="AC27" i="32"/>
  <c r="X27" i="32"/>
  <c r="W27" i="32"/>
  <c r="V27" i="32"/>
  <c r="T27" i="32"/>
  <c r="S27" i="32"/>
  <c r="R27" i="32"/>
  <c r="Q27" i="32"/>
  <c r="P27" i="32"/>
  <c r="N27" i="32"/>
  <c r="M27" i="32"/>
  <c r="J27" i="32"/>
  <c r="AK26" i="32"/>
  <c r="AR26" i="32" s="1"/>
  <c r="Y26" i="32"/>
  <c r="AN26" i="32" s="1"/>
  <c r="O26" i="32"/>
  <c r="U26" i="32" s="1"/>
  <c r="AB26" i="32" s="1"/>
  <c r="L26" i="32"/>
  <c r="K26" i="32"/>
  <c r="AK25" i="32"/>
  <c r="Y25" i="32"/>
  <c r="AN25" i="32" s="1"/>
  <c r="O25" i="32"/>
  <c r="L25" i="32"/>
  <c r="K25" i="32"/>
  <c r="K27" i="32" s="1"/>
  <c r="AQ24" i="32"/>
  <c r="AJ24" i="32"/>
  <c r="AI24" i="32"/>
  <c r="AH24" i="32"/>
  <c r="AG24" i="32"/>
  <c r="AE24" i="32"/>
  <c r="AC24" i="32"/>
  <c r="X24" i="32"/>
  <c r="W24" i="32"/>
  <c r="V24" i="32"/>
  <c r="T24" i="32"/>
  <c r="S24" i="32"/>
  <c r="R24" i="32"/>
  <c r="Q24" i="32"/>
  <c r="N24" i="32"/>
  <c r="M24" i="32"/>
  <c r="J24" i="32"/>
  <c r="Y23" i="32"/>
  <c r="AN23" i="32" s="1"/>
  <c r="P24" i="32"/>
  <c r="O23" i="32"/>
  <c r="U23" i="32" s="1"/>
  <c r="L23" i="32"/>
  <c r="K23" i="32"/>
  <c r="AK22" i="32"/>
  <c r="AR22" i="32" s="1"/>
  <c r="Y22" i="32"/>
  <c r="AN22" i="32" s="1"/>
  <c r="O22" i="32"/>
  <c r="U22" i="32" s="1"/>
  <c r="L22" i="32"/>
  <c r="K22" i="32"/>
  <c r="I22" i="32" s="1"/>
  <c r="AK21" i="32"/>
  <c r="AR21" i="32" s="1"/>
  <c r="Y21" i="32"/>
  <c r="O21" i="32"/>
  <c r="U21" i="32" s="1"/>
  <c r="AB21" i="32" s="1"/>
  <c r="L21" i="32"/>
  <c r="L24" i="32" s="1"/>
  <c r="K21" i="32"/>
  <c r="K24" i="32" s="1"/>
  <c r="AQ20" i="32"/>
  <c r="AJ20" i="32"/>
  <c r="AI20" i="32"/>
  <c r="AH20" i="32"/>
  <c r="AG20" i="32"/>
  <c r="AF20" i="32"/>
  <c r="AE20" i="32"/>
  <c r="AC20" i="32"/>
  <c r="X20" i="32"/>
  <c r="W20" i="32"/>
  <c r="V20" i="32"/>
  <c r="T20" i="32"/>
  <c r="S20" i="32"/>
  <c r="R20" i="32"/>
  <c r="Q20" i="32"/>
  <c r="P20" i="32"/>
  <c r="N20" i="32"/>
  <c r="M20" i="32"/>
  <c r="J20" i="32"/>
  <c r="AK19" i="32"/>
  <c r="AR19" i="32" s="1"/>
  <c r="Y19" i="32"/>
  <c r="AN19" i="32" s="1"/>
  <c r="O19" i="32"/>
  <c r="U19" i="32" s="1"/>
  <c r="AM19" i="32" s="1"/>
  <c r="L19" i="32"/>
  <c r="K19" i="32"/>
  <c r="AK18" i="32"/>
  <c r="AR18" i="32" s="1"/>
  <c r="Y18" i="32"/>
  <c r="AN18" i="32" s="1"/>
  <c r="O18" i="32"/>
  <c r="U18" i="32" s="1"/>
  <c r="AB18" i="32" s="1"/>
  <c r="L18" i="32"/>
  <c r="K18" i="32"/>
  <c r="AK17" i="32"/>
  <c r="AR17" i="32" s="1"/>
  <c r="Y17" i="32"/>
  <c r="AA17" i="32" s="1"/>
  <c r="U17" i="32"/>
  <c r="O17" i="32"/>
  <c r="L17" i="32"/>
  <c r="K17" i="32"/>
  <c r="AQ16" i="32"/>
  <c r="AJ16" i="32"/>
  <c r="AI16" i="32"/>
  <c r="AH16" i="32"/>
  <c r="AG16" i="32"/>
  <c r="AF16" i="32"/>
  <c r="AE16" i="32"/>
  <c r="AC16" i="32"/>
  <c r="X16" i="32"/>
  <c r="W16" i="32"/>
  <c r="V16" i="32"/>
  <c r="T16" i="32"/>
  <c r="S16" i="32"/>
  <c r="R16" i="32"/>
  <c r="Q16" i="32"/>
  <c r="P16" i="32"/>
  <c r="N16" i="32"/>
  <c r="M16" i="32"/>
  <c r="J16" i="32"/>
  <c r="AK15" i="32"/>
  <c r="AR15" i="32" s="1"/>
  <c r="Y15" i="32"/>
  <c r="O15" i="32"/>
  <c r="U15" i="32" s="1"/>
  <c r="L15" i="32"/>
  <c r="K15" i="32"/>
  <c r="AK14" i="32"/>
  <c r="Y14" i="32"/>
  <c r="O14" i="32"/>
  <c r="U14" i="32" s="1"/>
  <c r="L14" i="32"/>
  <c r="K14" i="32"/>
  <c r="AQ13" i="32"/>
  <c r="AJ13" i="32"/>
  <c r="AI13" i="32"/>
  <c r="AH13" i="32"/>
  <c r="AG13" i="32"/>
  <c r="AF13" i="32"/>
  <c r="AE13" i="32"/>
  <c r="AC13" i="32"/>
  <c r="X13" i="32"/>
  <c r="W13" i="32"/>
  <c r="V13" i="32"/>
  <c r="T13" i="32"/>
  <c r="S13" i="32"/>
  <c r="R13" i="32"/>
  <c r="Q13" i="32"/>
  <c r="P13" i="32"/>
  <c r="N13" i="32"/>
  <c r="M13" i="32"/>
  <c r="J13" i="32"/>
  <c r="AK12" i="32"/>
  <c r="AK238" i="32" s="1"/>
  <c r="Y12" i="32"/>
  <c r="Y238" i="32" s="1"/>
  <c r="O12" i="32"/>
  <c r="L12" i="32"/>
  <c r="L238" i="32" s="1"/>
  <c r="K12" i="32"/>
  <c r="K13" i="32" s="1"/>
  <c r="AJ71" i="31"/>
  <c r="AI71" i="31"/>
  <c r="AH71" i="31"/>
  <c r="AG71" i="31"/>
  <c r="AF71" i="31"/>
  <c r="AE71" i="31"/>
  <c r="AC71" i="31"/>
  <c r="X71" i="31"/>
  <c r="W71" i="31"/>
  <c r="V71" i="31"/>
  <c r="T71" i="31"/>
  <c r="S71" i="31"/>
  <c r="R71" i="31"/>
  <c r="Q71" i="31"/>
  <c r="P71" i="31"/>
  <c r="N71" i="31"/>
  <c r="J71" i="31"/>
  <c r="AJ70" i="31"/>
  <c r="AI70" i="31"/>
  <c r="AH70" i="31"/>
  <c r="AG70" i="31"/>
  <c r="AF70" i="31"/>
  <c r="AE70" i="31"/>
  <c r="AC70" i="31"/>
  <c r="X70" i="31"/>
  <c r="W70" i="31"/>
  <c r="V70" i="31"/>
  <c r="T70" i="31"/>
  <c r="S70" i="31"/>
  <c r="R70" i="31"/>
  <c r="Q70" i="31"/>
  <c r="P70" i="31"/>
  <c r="N70" i="31"/>
  <c r="J70" i="31"/>
  <c r="AJ69" i="31"/>
  <c r="AI69" i="31"/>
  <c r="AH69" i="31"/>
  <c r="AG69" i="31"/>
  <c r="AF69" i="31"/>
  <c r="AE69" i="31"/>
  <c r="AC69" i="31"/>
  <c r="X69" i="31"/>
  <c r="W69" i="31"/>
  <c r="V69" i="31"/>
  <c r="T69" i="31"/>
  <c r="S69" i="31"/>
  <c r="R69" i="31"/>
  <c r="Q69" i="31"/>
  <c r="P69" i="31"/>
  <c r="N69" i="31"/>
  <c r="J69" i="31"/>
  <c r="AR68" i="31"/>
  <c r="AQ68" i="31"/>
  <c r="AP68" i="31"/>
  <c r="AO68" i="31"/>
  <c r="AN68" i="31"/>
  <c r="AM68" i="31"/>
  <c r="AL68" i="31"/>
  <c r="AK68" i="31"/>
  <c r="AJ68" i="31"/>
  <c r="AI68" i="31"/>
  <c r="AH68" i="31"/>
  <c r="AG68" i="31"/>
  <c r="AF68" i="31"/>
  <c r="AE68" i="31"/>
  <c r="AD68" i="31"/>
  <c r="AC68" i="31"/>
  <c r="AB68" i="31"/>
  <c r="AA68" i="31"/>
  <c r="Z68" i="31"/>
  <c r="Y68" i="31"/>
  <c r="X68" i="31"/>
  <c r="W68" i="31"/>
  <c r="V68" i="31"/>
  <c r="U68" i="31"/>
  <c r="T68" i="31"/>
  <c r="S68" i="31"/>
  <c r="R68" i="31"/>
  <c r="Q68" i="31"/>
  <c r="P68" i="31"/>
  <c r="O68" i="31"/>
  <c r="N68" i="31"/>
  <c r="L68" i="31"/>
  <c r="K68" i="31"/>
  <c r="J68" i="31"/>
  <c r="AR67" i="31"/>
  <c r="AQ67" i="31"/>
  <c r="AP67" i="31"/>
  <c r="AO67" i="31"/>
  <c r="AN67" i="31"/>
  <c r="AM67" i="31"/>
  <c r="AL67" i="31"/>
  <c r="AK67" i="31"/>
  <c r="AJ67" i="31"/>
  <c r="AI67" i="31"/>
  <c r="AH67" i="31"/>
  <c r="AG67" i="31"/>
  <c r="AF67" i="31"/>
  <c r="AE67" i="31"/>
  <c r="AD67" i="31"/>
  <c r="AC67" i="31"/>
  <c r="AB67" i="31"/>
  <c r="AA67" i="31"/>
  <c r="Z67" i="31"/>
  <c r="Y67" i="31"/>
  <c r="X67" i="31"/>
  <c r="W67" i="31"/>
  <c r="V67" i="31"/>
  <c r="U67" i="31"/>
  <c r="T67" i="31"/>
  <c r="S67" i="31"/>
  <c r="R67" i="31"/>
  <c r="Q67" i="31"/>
  <c r="P67" i="31"/>
  <c r="O67" i="31"/>
  <c r="N67" i="31"/>
  <c r="L67" i="31"/>
  <c r="K67" i="31"/>
  <c r="J67" i="31"/>
  <c r="AR66" i="31"/>
  <c r="AQ66" i="31"/>
  <c r="AP66" i="31"/>
  <c r="AO66" i="31"/>
  <c r="AN66" i="31"/>
  <c r="AM66" i="31"/>
  <c r="AL66" i="31"/>
  <c r="AK66" i="31"/>
  <c r="AJ66" i="31"/>
  <c r="AI66" i="31"/>
  <c r="AH66" i="31"/>
  <c r="AG66" i="31"/>
  <c r="AF66" i="31"/>
  <c r="AE66" i="31"/>
  <c r="AD66" i="31"/>
  <c r="AC66" i="31"/>
  <c r="AB66" i="31"/>
  <c r="AA66" i="31"/>
  <c r="Z66" i="31"/>
  <c r="Y66" i="31"/>
  <c r="X66" i="31"/>
  <c r="W66" i="31"/>
  <c r="V66" i="31"/>
  <c r="U66" i="31"/>
  <c r="T66" i="31"/>
  <c r="S66" i="31"/>
  <c r="R66" i="31"/>
  <c r="Q66" i="31"/>
  <c r="P66" i="31"/>
  <c r="O66" i="31"/>
  <c r="N66" i="31"/>
  <c r="L66" i="31"/>
  <c r="K66" i="31"/>
  <c r="J66" i="31"/>
  <c r="AJ65" i="31"/>
  <c r="AI65" i="31"/>
  <c r="AH65" i="31"/>
  <c r="AG65" i="31"/>
  <c r="AF65" i="31"/>
  <c r="AE65" i="31"/>
  <c r="AC65" i="31"/>
  <c r="X65" i="31"/>
  <c r="W65" i="31"/>
  <c r="V65" i="31"/>
  <c r="U65" i="31"/>
  <c r="T65" i="31"/>
  <c r="S65" i="31"/>
  <c r="R65" i="31"/>
  <c r="Q65" i="31"/>
  <c r="P65" i="31"/>
  <c r="O65" i="31"/>
  <c r="N65" i="31"/>
  <c r="J65" i="31"/>
  <c r="AR64" i="31"/>
  <c r="AQ64" i="31"/>
  <c r="AP64" i="31"/>
  <c r="AO64" i="31"/>
  <c r="AN64" i="31"/>
  <c r="AM64" i="31"/>
  <c r="AL64" i="31"/>
  <c r="AK64" i="31"/>
  <c r="AJ64" i="31"/>
  <c r="AI64" i="31"/>
  <c r="AH64" i="31"/>
  <c r="AG64" i="31"/>
  <c r="AF64" i="31"/>
  <c r="AE64" i="31"/>
  <c r="AD64" i="31"/>
  <c r="AC64" i="31"/>
  <c r="AB64" i="31"/>
  <c r="AA64" i="31"/>
  <c r="Z64" i="31"/>
  <c r="Y64" i="31"/>
  <c r="X64" i="31"/>
  <c r="W64" i="31"/>
  <c r="V64" i="31"/>
  <c r="U64" i="31"/>
  <c r="T64" i="31"/>
  <c r="S64" i="31"/>
  <c r="R64" i="31"/>
  <c r="Q64" i="31"/>
  <c r="P64" i="31"/>
  <c r="O64" i="31"/>
  <c r="N64" i="31"/>
  <c r="L64" i="31"/>
  <c r="K64" i="31"/>
  <c r="J64" i="31"/>
  <c r="AJ63" i="31"/>
  <c r="AI63" i="31"/>
  <c r="AH63" i="31"/>
  <c r="AG63" i="31"/>
  <c r="AE63" i="31"/>
  <c r="AC63" i="31"/>
  <c r="X63" i="31"/>
  <c r="W63" i="31"/>
  <c r="V63" i="31"/>
  <c r="T63" i="31"/>
  <c r="S63" i="31"/>
  <c r="R63" i="31"/>
  <c r="R61" i="31" s="1"/>
  <c r="Q63" i="31"/>
  <c r="N63" i="31"/>
  <c r="J63" i="31"/>
  <c r="AJ62" i="31"/>
  <c r="AI62" i="31"/>
  <c r="AH62" i="31"/>
  <c r="AH61" i="31" s="1"/>
  <c r="AG62" i="31"/>
  <c r="AG61" i="31" s="1"/>
  <c r="AF62" i="31"/>
  <c r="AE62" i="31"/>
  <c r="AC62" i="31"/>
  <c r="X62" i="31"/>
  <c r="W62" i="31"/>
  <c r="V62" i="31"/>
  <c r="T62" i="31"/>
  <c r="S62" i="31"/>
  <c r="R62" i="31"/>
  <c r="Q62" i="31"/>
  <c r="P62" i="31"/>
  <c r="N62" i="31"/>
  <c r="J62" i="31"/>
  <c r="AJ57" i="31"/>
  <c r="AI57" i="31"/>
  <c r="AH57" i="31"/>
  <c r="AG57" i="31"/>
  <c r="AF57" i="31"/>
  <c r="AE57" i="31"/>
  <c r="AC57" i="31"/>
  <c r="X57" i="31"/>
  <c r="W57" i="31"/>
  <c r="V57" i="31"/>
  <c r="T57" i="31"/>
  <c r="S57" i="31"/>
  <c r="R57" i="31"/>
  <c r="Q57" i="31"/>
  <c r="P57" i="31"/>
  <c r="N57" i="31"/>
  <c r="M57" i="31"/>
  <c r="J57" i="31"/>
  <c r="AR56" i="31"/>
  <c r="AQ56" i="31"/>
  <c r="AK56" i="31"/>
  <c r="Y56" i="31"/>
  <c r="AN56" i="31" s="1"/>
  <c r="O56" i="31"/>
  <c r="U56" i="31" s="1"/>
  <c r="L56" i="31"/>
  <c r="K56" i="31"/>
  <c r="I56" i="31" s="1"/>
  <c r="AR55" i="31"/>
  <c r="AQ55" i="31"/>
  <c r="AK55" i="31"/>
  <c r="Y55" i="31"/>
  <c r="AN55" i="31" s="1"/>
  <c r="O55" i="31"/>
  <c r="U55" i="31" s="1"/>
  <c r="L55" i="31"/>
  <c r="K55" i="31"/>
  <c r="I55" i="31" s="1"/>
  <c r="AR54" i="31"/>
  <c r="AQ54" i="31"/>
  <c r="AQ57" i="31" s="1"/>
  <c r="AK54" i="31"/>
  <c r="AK57" i="31" s="1"/>
  <c r="AB54" i="31"/>
  <c r="Y54" i="31"/>
  <c r="O54" i="31"/>
  <c r="U54" i="31" s="1"/>
  <c r="L54" i="31"/>
  <c r="K54" i="31"/>
  <c r="K57" i="31" s="1"/>
  <c r="AJ53" i="31"/>
  <c r="AI53" i="31"/>
  <c r="AH53" i="31"/>
  <c r="AG53" i="31"/>
  <c r="AF53" i="31"/>
  <c r="AE53" i="31"/>
  <c r="AC53" i="31"/>
  <c r="X53" i="31"/>
  <c r="W53" i="31"/>
  <c r="V53" i="31"/>
  <c r="T53" i="31"/>
  <c r="S53" i="31"/>
  <c r="R53" i="31"/>
  <c r="Q53" i="31"/>
  <c r="P53" i="31"/>
  <c r="N53" i="31"/>
  <c r="M53" i="31"/>
  <c r="J53" i="31"/>
  <c r="AR52" i="31"/>
  <c r="AR53" i="31" s="1"/>
  <c r="AQ52" i="31"/>
  <c r="AQ53" i="31" s="1"/>
  <c r="AK52" i="31"/>
  <c r="AK53" i="31" s="1"/>
  <c r="Y52" i="31"/>
  <c r="O52" i="31"/>
  <c r="U52" i="31" s="1"/>
  <c r="AB52" i="31" s="1"/>
  <c r="AB53" i="31" s="1"/>
  <c r="L52" i="31"/>
  <c r="K52" i="31"/>
  <c r="I52" i="31" s="1"/>
  <c r="I53" i="31" s="1"/>
  <c r="AJ51" i="31"/>
  <c r="AI51" i="31"/>
  <c r="AH51" i="31"/>
  <c r="AG51" i="31"/>
  <c r="AF51" i="31"/>
  <c r="AE51" i="31"/>
  <c r="AC51" i="31"/>
  <c r="X51" i="31"/>
  <c r="W51" i="31"/>
  <c r="V51" i="31"/>
  <c r="T51" i="31"/>
  <c r="S51" i="31"/>
  <c r="R51" i="31"/>
  <c r="Q51" i="31"/>
  <c r="P51" i="31"/>
  <c r="N51" i="31"/>
  <c r="M51" i="31"/>
  <c r="J51" i="31"/>
  <c r="AR50" i="31"/>
  <c r="AQ50" i="31"/>
  <c r="AK50" i="31"/>
  <c r="Y50" i="31"/>
  <c r="AN50" i="31" s="1"/>
  <c r="O50" i="31"/>
  <c r="U50" i="31" s="1"/>
  <c r="L50" i="31"/>
  <c r="K50" i="31"/>
  <c r="I50" i="31" s="1"/>
  <c r="AR49" i="31"/>
  <c r="AQ49" i="31"/>
  <c r="AO49" i="31"/>
  <c r="AK49" i="31"/>
  <c r="AA49" i="31"/>
  <c r="Y49" i="31"/>
  <c r="AN49" i="31" s="1"/>
  <c r="O49" i="31"/>
  <c r="U49" i="31" s="1"/>
  <c r="AB49" i="31" s="1"/>
  <c r="L49" i="31"/>
  <c r="K49" i="31"/>
  <c r="AR48" i="31"/>
  <c r="AQ48" i="31"/>
  <c r="AK48" i="31"/>
  <c r="AB48" i="31"/>
  <c r="Y48" i="31"/>
  <c r="AA48" i="31" s="1"/>
  <c r="O48" i="31"/>
  <c r="U48" i="31" s="1"/>
  <c r="L48" i="31"/>
  <c r="AP48" i="31" s="1"/>
  <c r="K48" i="31"/>
  <c r="AR47" i="31"/>
  <c r="AR51" i="31" s="1"/>
  <c r="AQ47" i="31"/>
  <c r="AQ51" i="31" s="1"/>
  <c r="AK47" i="31"/>
  <c r="AK51" i="31" s="1"/>
  <c r="Y47" i="31"/>
  <c r="O47" i="31"/>
  <c r="L47" i="31"/>
  <c r="L51" i="31" s="1"/>
  <c r="K47" i="31"/>
  <c r="I47" i="31" s="1"/>
  <c r="AJ46" i="31"/>
  <c r="AI46" i="31"/>
  <c r="AH46" i="31"/>
  <c r="AG46" i="31"/>
  <c r="AF46" i="31"/>
  <c r="AE46" i="31"/>
  <c r="AC46" i="31"/>
  <c r="X46" i="31"/>
  <c r="W46" i="31"/>
  <c r="V46" i="31"/>
  <c r="T46" i="31"/>
  <c r="S46" i="31"/>
  <c r="R46" i="31"/>
  <c r="Q46" i="31"/>
  <c r="P46" i="31"/>
  <c r="N46" i="31"/>
  <c r="M46" i="31"/>
  <c r="J46" i="31"/>
  <c r="AQ45" i="31"/>
  <c r="AK45" i="31"/>
  <c r="AR45" i="31" s="1"/>
  <c r="Y45" i="31"/>
  <c r="AN45" i="31" s="1"/>
  <c r="U45" i="31"/>
  <c r="O45" i="31"/>
  <c r="L45" i="31"/>
  <c r="K45" i="31"/>
  <c r="I45" i="31" s="1"/>
  <c r="AQ44" i="31"/>
  <c r="AP44" i="31"/>
  <c r="AK44" i="31"/>
  <c r="AR44" i="31" s="1"/>
  <c r="AB44" i="31"/>
  <c r="Y44" i="31"/>
  <c r="AN44" i="31" s="1"/>
  <c r="AN46" i="31" s="1"/>
  <c r="U44" i="31"/>
  <c r="O44" i="31"/>
  <c r="L44" i="31"/>
  <c r="K44" i="31"/>
  <c r="AQ43" i="31"/>
  <c r="AQ46" i="31" s="1"/>
  <c r="AN43" i="31"/>
  <c r="AK43" i="31"/>
  <c r="AK46" i="31" s="1"/>
  <c r="Y43" i="31"/>
  <c r="O43" i="31"/>
  <c r="O46" i="31" s="1"/>
  <c r="L43" i="31"/>
  <c r="L46" i="31" s="1"/>
  <c r="K43" i="31"/>
  <c r="I43" i="31"/>
  <c r="AJ42" i="31"/>
  <c r="AI42" i="31"/>
  <c r="AH42" i="31"/>
  <c r="AG42" i="31"/>
  <c r="AF42" i="31"/>
  <c r="AE42" i="31"/>
  <c r="AC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J42" i="31"/>
  <c r="AQ41" i="31"/>
  <c r="AN41" i="31"/>
  <c r="AM41" i="31"/>
  <c r="AK41" i="31"/>
  <c r="AR41" i="31" s="1"/>
  <c r="Z41" i="31"/>
  <c r="Y41" i="31"/>
  <c r="O41" i="31"/>
  <c r="U41" i="31" s="1"/>
  <c r="L41" i="31"/>
  <c r="K41" i="31"/>
  <c r="I41" i="31"/>
  <c r="AQ40" i="31"/>
  <c r="AQ42" i="31" s="1"/>
  <c r="AN40" i="31"/>
  <c r="AN42" i="31" s="1"/>
  <c r="AM40" i="31"/>
  <c r="AM42" i="31" s="1"/>
  <c r="AK40" i="31"/>
  <c r="AR40" i="31" s="1"/>
  <c r="AR42" i="31" s="1"/>
  <c r="Z40" i="31"/>
  <c r="Z42" i="31" s="1"/>
  <c r="Y40" i="31"/>
  <c r="O40" i="31"/>
  <c r="U40" i="31" s="1"/>
  <c r="L40" i="31"/>
  <c r="K40" i="31"/>
  <c r="K42" i="31" s="1"/>
  <c r="I40" i="31"/>
  <c r="AJ39" i="31"/>
  <c r="AI39" i="31"/>
  <c r="AH39" i="31"/>
  <c r="AG39" i="31"/>
  <c r="AF39" i="31"/>
  <c r="AE39" i="31"/>
  <c r="AC39" i="31"/>
  <c r="Y39" i="31"/>
  <c r="X39" i="31"/>
  <c r="W39" i="31"/>
  <c r="V39" i="31"/>
  <c r="T39" i="31"/>
  <c r="S39" i="31"/>
  <c r="R39" i="31"/>
  <c r="Q39" i="31"/>
  <c r="P39" i="31"/>
  <c r="O39" i="31"/>
  <c r="N39" i="31"/>
  <c r="M39" i="31"/>
  <c r="L39" i="31"/>
  <c r="J39" i="31"/>
  <c r="AQ38" i="31"/>
  <c r="AN38" i="31"/>
  <c r="AK38" i="31"/>
  <c r="AR38" i="31" s="1"/>
  <c r="Z38" i="31"/>
  <c r="Y38" i="31"/>
  <c r="O38" i="31"/>
  <c r="U38" i="31" s="1"/>
  <c r="AM38" i="31" s="1"/>
  <c r="L38" i="31"/>
  <c r="K38" i="31"/>
  <c r="I38" i="31"/>
  <c r="AQ37" i="31"/>
  <c r="AN37" i="31"/>
  <c r="AK37" i="31"/>
  <c r="AR37" i="31" s="1"/>
  <c r="Z37" i="31"/>
  <c r="Y37" i="31"/>
  <c r="U37" i="31"/>
  <c r="AM37" i="31" s="1"/>
  <c r="O37" i="31"/>
  <c r="L37" i="31"/>
  <c r="K37" i="31"/>
  <c r="I37" i="31"/>
  <c r="AQ36" i="31"/>
  <c r="AQ65" i="31" s="1"/>
  <c r="AP36" i="31"/>
  <c r="AN36" i="31"/>
  <c r="AK36" i="31"/>
  <c r="AD36" i="31"/>
  <c r="AA36" i="31"/>
  <c r="Z36" i="31"/>
  <c r="Y36" i="31"/>
  <c r="U36" i="31"/>
  <c r="AB36" i="31" s="1"/>
  <c r="O36" i="31"/>
  <c r="L36" i="31"/>
  <c r="K36" i="31"/>
  <c r="I36" i="31" s="1"/>
  <c r="AQ35" i="31"/>
  <c r="AN35" i="31"/>
  <c r="AK35" i="31"/>
  <c r="Y35" i="31"/>
  <c r="U35" i="31"/>
  <c r="AB35" i="31" s="1"/>
  <c r="O35" i="31"/>
  <c r="L35" i="31"/>
  <c r="K35" i="31"/>
  <c r="I35" i="31" s="1"/>
  <c r="AN34" i="31"/>
  <c r="AK34" i="31"/>
  <c r="AJ34" i="31"/>
  <c r="AI34" i="31"/>
  <c r="AH34" i="31"/>
  <c r="AG34" i="31"/>
  <c r="AF34" i="31"/>
  <c r="AE34" i="31"/>
  <c r="AC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J34" i="31"/>
  <c r="AQ33" i="31"/>
  <c r="AQ70" i="31" s="1"/>
  <c r="AN33" i="31"/>
  <c r="AN70" i="31" s="1"/>
  <c r="AK33" i="31"/>
  <c r="AA33" i="31"/>
  <c r="AA70" i="31" s="1"/>
  <c r="Z33" i="31"/>
  <c r="Y33" i="31"/>
  <c r="Y70" i="31" s="1"/>
  <c r="U33" i="31"/>
  <c r="O33" i="31"/>
  <c r="O70" i="31" s="1"/>
  <c r="L33" i="31"/>
  <c r="L70" i="31" s="1"/>
  <c r="K33" i="31"/>
  <c r="AJ32" i="31"/>
  <c r="AI32" i="31"/>
  <c r="AH32" i="31"/>
  <c r="AG32" i="31"/>
  <c r="AE32" i="31"/>
  <c r="AC32" i="31"/>
  <c r="X32" i="31"/>
  <c r="W32" i="31"/>
  <c r="V32" i="31"/>
  <c r="T32" i="31"/>
  <c r="S32" i="31"/>
  <c r="R32" i="31"/>
  <c r="Q32" i="31"/>
  <c r="P32" i="31"/>
  <c r="N32" i="31"/>
  <c r="M32" i="31"/>
  <c r="J32" i="31"/>
  <c r="AQ31" i="31"/>
  <c r="AQ32" i="31" s="1"/>
  <c r="AN31" i="31"/>
  <c r="AK31" i="31"/>
  <c r="AR31" i="31" s="1"/>
  <c r="Y31" i="31"/>
  <c r="O31" i="31"/>
  <c r="U31" i="31" s="1"/>
  <c r="L31" i="31"/>
  <c r="K31" i="31"/>
  <c r="I31" i="31" s="1"/>
  <c r="AQ30" i="31"/>
  <c r="AK30" i="31"/>
  <c r="AR30" i="31" s="1"/>
  <c r="AF32" i="31"/>
  <c r="Y30" i="31"/>
  <c r="AN30" i="31" s="1"/>
  <c r="U30" i="31"/>
  <c r="AB30" i="31" s="1"/>
  <c r="O30" i="31"/>
  <c r="L30" i="31"/>
  <c r="K30" i="31"/>
  <c r="I30" i="31"/>
  <c r="AR29" i="31"/>
  <c r="AQ29" i="31"/>
  <c r="AM29" i="31"/>
  <c r="AK29" i="31"/>
  <c r="Z29" i="31"/>
  <c r="Y29" i="31"/>
  <c r="AN29" i="31" s="1"/>
  <c r="O29" i="31"/>
  <c r="U29" i="31" s="1"/>
  <c r="AB29" i="31" s="1"/>
  <c r="L29" i="31"/>
  <c r="AP29" i="31" s="1"/>
  <c r="K29" i="31"/>
  <c r="AR28" i="31"/>
  <c r="AQ28" i="31"/>
  <c r="AK28" i="31"/>
  <c r="Y28" i="31"/>
  <c r="Y32" i="31" s="1"/>
  <c r="O28" i="31"/>
  <c r="U28" i="31" s="1"/>
  <c r="L28" i="31"/>
  <c r="K28" i="31"/>
  <c r="AJ27" i="31"/>
  <c r="AI27" i="31"/>
  <c r="AH27" i="31"/>
  <c r="AG27" i="31"/>
  <c r="AE27" i="31"/>
  <c r="AC27" i="31"/>
  <c r="X27" i="31"/>
  <c r="W27" i="31"/>
  <c r="V27" i="31"/>
  <c r="T27" i="31"/>
  <c r="S27" i="31"/>
  <c r="R27" i="31"/>
  <c r="Q27" i="31"/>
  <c r="P27" i="31"/>
  <c r="N27" i="31"/>
  <c r="M27" i="31"/>
  <c r="J27" i="31"/>
  <c r="AR26" i="31"/>
  <c r="AQ26" i="31"/>
  <c r="AN26" i="31"/>
  <c r="AN69" i="31" s="1"/>
  <c r="AK26" i="31"/>
  <c r="Y26" i="31"/>
  <c r="Y69" i="31" s="1"/>
  <c r="O26" i="31"/>
  <c r="L26" i="31"/>
  <c r="L69" i="31" s="1"/>
  <c r="K26" i="31"/>
  <c r="I26" i="31"/>
  <c r="AQ25" i="31"/>
  <c r="AN25" i="31"/>
  <c r="AF27" i="31"/>
  <c r="Y25" i="31"/>
  <c r="U25" i="31"/>
  <c r="AB25" i="31" s="1"/>
  <c r="AP25" i="31" s="1"/>
  <c r="P63" i="31"/>
  <c r="O25" i="31"/>
  <c r="L25" i="31"/>
  <c r="K25" i="31"/>
  <c r="I25" i="31" s="1"/>
  <c r="AQ24" i="31"/>
  <c r="AK24" i="31"/>
  <c r="AR24" i="31" s="1"/>
  <c r="Y24" i="31"/>
  <c r="AN24" i="31" s="1"/>
  <c r="U24" i="31"/>
  <c r="O24" i="31"/>
  <c r="O27" i="31" s="1"/>
  <c r="L24" i="31"/>
  <c r="K24" i="31"/>
  <c r="AQ23" i="31"/>
  <c r="AK23" i="31"/>
  <c r="AB23" i="31"/>
  <c r="AA23" i="31"/>
  <c r="Y23" i="31"/>
  <c r="U23" i="31"/>
  <c r="O23" i="31"/>
  <c r="L23" i="31"/>
  <c r="K23" i="31"/>
  <c r="AQ22" i="31"/>
  <c r="AK22" i="31"/>
  <c r="AJ22" i="31"/>
  <c r="AI22" i="31"/>
  <c r="AH22" i="31"/>
  <c r="AG22" i="31"/>
  <c r="AF22" i="31"/>
  <c r="AE22" i="31"/>
  <c r="AC22" i="31"/>
  <c r="X22" i="31"/>
  <c r="W22" i="31"/>
  <c r="V22" i="31"/>
  <c r="T22" i="31"/>
  <c r="S22" i="31"/>
  <c r="R22" i="31"/>
  <c r="Q22" i="31"/>
  <c r="P22" i="31"/>
  <c r="N22" i="31"/>
  <c r="M22" i="31"/>
  <c r="J22" i="31"/>
  <c r="AQ21" i="31"/>
  <c r="AQ71" i="31" s="1"/>
  <c r="AK21" i="31"/>
  <c r="AK71" i="31" s="1"/>
  <c r="Y21" i="31"/>
  <c r="Y71" i="31" s="1"/>
  <c r="U21" i="31"/>
  <c r="AB21" i="31" s="1"/>
  <c r="O21" i="31"/>
  <c r="L21" i="31"/>
  <c r="L71" i="31" s="1"/>
  <c r="K21" i="31"/>
  <c r="K22" i="31" s="1"/>
  <c r="AQ20" i="31"/>
  <c r="AJ20" i="31"/>
  <c r="AI20" i="31"/>
  <c r="AH20" i="31"/>
  <c r="AG20" i="31"/>
  <c r="AF20" i="31"/>
  <c r="AE20" i="31"/>
  <c r="AC20" i="31"/>
  <c r="X20" i="31"/>
  <c r="W20" i="31"/>
  <c r="V20" i="31"/>
  <c r="T20" i="31"/>
  <c r="S20" i="31"/>
  <c r="R20" i="31"/>
  <c r="Q20" i="31"/>
  <c r="P20" i="31"/>
  <c r="N20" i="31"/>
  <c r="M20" i="31"/>
  <c r="J20" i="31"/>
  <c r="AQ19" i="31"/>
  <c r="AK19" i="31"/>
  <c r="AR19" i="31" s="1"/>
  <c r="Y19" i="31"/>
  <c r="AN19" i="31" s="1"/>
  <c r="O19" i="31"/>
  <c r="U19" i="31" s="1"/>
  <c r="L19" i="31"/>
  <c r="K19" i="31"/>
  <c r="AQ18" i="31"/>
  <c r="AN18" i="31"/>
  <c r="AK18" i="31"/>
  <c r="AR18" i="31" s="1"/>
  <c r="AR20" i="31" s="1"/>
  <c r="AA18" i="31"/>
  <c r="Z18" i="31"/>
  <c r="Y18" i="31"/>
  <c r="Y20" i="31" s="1"/>
  <c r="U18" i="31"/>
  <c r="AB18" i="31" s="1"/>
  <c r="O18" i="31"/>
  <c r="L18" i="31"/>
  <c r="K18" i="31"/>
  <c r="I18" i="31" s="1"/>
  <c r="AJ17" i="31"/>
  <c r="AI17" i="31"/>
  <c r="AH17" i="31"/>
  <c r="AG17" i="31"/>
  <c r="AF17" i="31"/>
  <c r="AE17" i="31"/>
  <c r="AC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J17" i="31"/>
  <c r="AQ16" i="31"/>
  <c r="AN16" i="31"/>
  <c r="AM16" i="31"/>
  <c r="AK16" i="31"/>
  <c r="AR16" i="31" s="1"/>
  <c r="AA16" i="31"/>
  <c r="Z16" i="31"/>
  <c r="AD16" i="31" s="1"/>
  <c r="Y16" i="31"/>
  <c r="U16" i="31"/>
  <c r="AB16" i="31" s="1"/>
  <c r="AP16" i="31" s="1"/>
  <c r="O16" i="31"/>
  <c r="L16" i="31"/>
  <c r="K16" i="31"/>
  <c r="I16" i="31" s="1"/>
  <c r="AQ15" i="31"/>
  <c r="AQ17" i="31" s="1"/>
  <c r="AN15" i="31"/>
  <c r="AN17" i="31" s="1"/>
  <c r="AM15" i="31"/>
  <c r="AM17" i="31" s="1"/>
  <c r="AK15" i="31"/>
  <c r="AR15" i="31" s="1"/>
  <c r="AA15" i="31"/>
  <c r="AA17" i="31" s="1"/>
  <c r="Z15" i="31"/>
  <c r="Z17" i="31" s="1"/>
  <c r="Y15" i="31"/>
  <c r="Y17" i="31" s="1"/>
  <c r="U15" i="31"/>
  <c r="AB15" i="31" s="1"/>
  <c r="O15" i="31"/>
  <c r="L15" i="31"/>
  <c r="K15" i="31"/>
  <c r="I15" i="31" s="1"/>
  <c r="AJ14" i="31"/>
  <c r="AI14" i="31"/>
  <c r="AH14" i="31"/>
  <c r="AH58" i="31" s="1"/>
  <c r="AG14" i="31"/>
  <c r="AG58" i="31" s="1"/>
  <c r="AF14" i="31"/>
  <c r="AE14" i="31"/>
  <c r="AC14" i="31"/>
  <c r="X14" i="31"/>
  <c r="W14" i="31"/>
  <c r="V14" i="31"/>
  <c r="V58" i="31" s="1"/>
  <c r="U14" i="31"/>
  <c r="T14" i="31"/>
  <c r="T58" i="31" s="1"/>
  <c r="S14" i="31"/>
  <c r="S58" i="31" s="1"/>
  <c r="R14" i="31"/>
  <c r="Q14" i="31"/>
  <c r="P14" i="31"/>
  <c r="O14" i="31"/>
  <c r="N14" i="31"/>
  <c r="M14" i="31"/>
  <c r="M58" i="31" s="1"/>
  <c r="L14" i="31"/>
  <c r="J14" i="31"/>
  <c r="AQ13" i="31"/>
  <c r="AN13" i="31"/>
  <c r="AM13" i="31"/>
  <c r="AK13" i="31"/>
  <c r="AR13" i="31" s="1"/>
  <c r="AA13" i="31"/>
  <c r="Z13" i="31"/>
  <c r="Y13" i="31"/>
  <c r="U13" i="31"/>
  <c r="AB13" i="31" s="1"/>
  <c r="AP13" i="31" s="1"/>
  <c r="O13" i="31"/>
  <c r="L13" i="31"/>
  <c r="K13" i="31"/>
  <c r="I13" i="31" s="1"/>
  <c r="AQ12" i="31"/>
  <c r="AN12" i="31"/>
  <c r="AN14" i="31" s="1"/>
  <c r="AM12" i="31"/>
  <c r="AK12" i="31"/>
  <c r="AA12" i="31"/>
  <c r="Z12" i="31"/>
  <c r="Z14" i="31" s="1"/>
  <c r="Y12" i="31"/>
  <c r="Y62" i="31" s="1"/>
  <c r="U12" i="31"/>
  <c r="AB12" i="31" s="1"/>
  <c r="O12" i="31"/>
  <c r="L12" i="31"/>
  <c r="K12" i="31"/>
  <c r="K62" i="31" s="1"/>
  <c r="AJ93" i="30"/>
  <c r="AI93" i="30"/>
  <c r="AH93" i="30"/>
  <c r="AG93" i="30"/>
  <c r="AF93" i="30"/>
  <c r="AE93" i="30"/>
  <c r="AC93" i="30"/>
  <c r="X93" i="30"/>
  <c r="W93" i="30"/>
  <c r="V93" i="30"/>
  <c r="T93" i="30"/>
  <c r="S93" i="30"/>
  <c r="R93" i="30"/>
  <c r="Q93" i="30"/>
  <c r="P93" i="30"/>
  <c r="N93" i="30"/>
  <c r="M93" i="30"/>
  <c r="J93" i="30"/>
  <c r="AJ92" i="30"/>
  <c r="AI92" i="30"/>
  <c r="AH92" i="30"/>
  <c r="AG92" i="30"/>
  <c r="AF92" i="30"/>
  <c r="AE92" i="30"/>
  <c r="AC92" i="30"/>
  <c r="X92" i="30"/>
  <c r="W92" i="30"/>
  <c r="V92" i="30"/>
  <c r="T92" i="30"/>
  <c r="S92" i="30"/>
  <c r="R92" i="30"/>
  <c r="Q92" i="30"/>
  <c r="P92" i="30"/>
  <c r="O92" i="30"/>
  <c r="N92" i="30"/>
  <c r="M92" i="30"/>
  <c r="J92" i="30"/>
  <c r="AJ91" i="30"/>
  <c r="AI91" i="30"/>
  <c r="AH91" i="30"/>
  <c r="AG91" i="30"/>
  <c r="AF91" i="30"/>
  <c r="AE91" i="30"/>
  <c r="AC91" i="30"/>
  <c r="X91" i="30"/>
  <c r="W91" i="30"/>
  <c r="V91" i="30"/>
  <c r="T91" i="30"/>
  <c r="S91" i="30"/>
  <c r="R91" i="30"/>
  <c r="Q91" i="30"/>
  <c r="P91" i="30"/>
  <c r="N91" i="30"/>
  <c r="M91" i="30"/>
  <c r="J91" i="30"/>
  <c r="AR90" i="30"/>
  <c r="AQ90" i="30"/>
  <c r="AP90" i="30"/>
  <c r="AO90" i="30"/>
  <c r="AN90" i="30"/>
  <c r="AM90" i="30"/>
  <c r="AL90" i="30"/>
  <c r="AK90" i="30"/>
  <c r="AJ90" i="30"/>
  <c r="AI90" i="30"/>
  <c r="AH90" i="30"/>
  <c r="AG90" i="30"/>
  <c r="AF90" i="30"/>
  <c r="AE90" i="30"/>
  <c r="AD90" i="30"/>
  <c r="AC90" i="30"/>
  <c r="AB90" i="30"/>
  <c r="AA90" i="30"/>
  <c r="Z90" i="30"/>
  <c r="Y90" i="30"/>
  <c r="X90" i="30"/>
  <c r="W90" i="30"/>
  <c r="V90" i="30"/>
  <c r="U90" i="30"/>
  <c r="T90" i="30"/>
  <c r="S90" i="30"/>
  <c r="R90" i="30"/>
  <c r="Q90" i="30"/>
  <c r="P90" i="30"/>
  <c r="O90" i="30"/>
  <c r="N90" i="30"/>
  <c r="M90" i="30"/>
  <c r="L90" i="30"/>
  <c r="K90" i="30"/>
  <c r="J90" i="30"/>
  <c r="I90" i="30"/>
  <c r="AR89" i="30"/>
  <c r="AQ89" i="30"/>
  <c r="AP89" i="30"/>
  <c r="AO89" i="30"/>
  <c r="AN89" i="30"/>
  <c r="AM89" i="30"/>
  <c r="AL89" i="30"/>
  <c r="AK89" i="30"/>
  <c r="AJ89" i="30"/>
  <c r="AI89" i="30"/>
  <c r="AH89" i="30"/>
  <c r="AG89" i="30"/>
  <c r="AF89" i="30"/>
  <c r="AE89" i="30"/>
  <c r="AD89" i="30"/>
  <c r="AC89" i="30"/>
  <c r="AB89" i="30"/>
  <c r="AA89" i="30"/>
  <c r="Z89" i="30"/>
  <c r="Y89" i="30"/>
  <c r="X89" i="30"/>
  <c r="W89" i="30"/>
  <c r="V89" i="30"/>
  <c r="U89" i="30"/>
  <c r="T89" i="30"/>
  <c r="S89" i="30"/>
  <c r="R89" i="30"/>
  <c r="Q89" i="30"/>
  <c r="P89" i="30"/>
  <c r="O89" i="30"/>
  <c r="N89" i="30"/>
  <c r="M89" i="30"/>
  <c r="L89" i="30"/>
  <c r="K89" i="30"/>
  <c r="J89" i="30"/>
  <c r="I89" i="30"/>
  <c r="AR88" i="30"/>
  <c r="AQ88" i="30"/>
  <c r="AP88" i="30"/>
  <c r="AO88" i="30"/>
  <c r="AN88" i="30"/>
  <c r="AM88" i="30"/>
  <c r="AL88" i="30"/>
  <c r="AK88" i="30"/>
  <c r="AJ88" i="30"/>
  <c r="AI88" i="30"/>
  <c r="AH88" i="30"/>
  <c r="AG88" i="30"/>
  <c r="AF88" i="30"/>
  <c r="AE88" i="30"/>
  <c r="AD88" i="30"/>
  <c r="AC88" i="30"/>
  <c r="AB88" i="30"/>
  <c r="AA88" i="30"/>
  <c r="Z88" i="30"/>
  <c r="Y88" i="30"/>
  <c r="X88" i="30"/>
  <c r="W88" i="30"/>
  <c r="V88" i="30"/>
  <c r="U88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AJ87" i="30"/>
  <c r="AI87" i="30"/>
  <c r="AH87" i="30"/>
  <c r="AG87" i="30"/>
  <c r="AE87" i="30"/>
  <c r="AE83" i="30" s="1"/>
  <c r="AC87" i="30"/>
  <c r="X87" i="30"/>
  <c r="W87" i="30"/>
  <c r="V87" i="30"/>
  <c r="T87" i="30"/>
  <c r="S87" i="30"/>
  <c r="S83" i="30" s="1"/>
  <c r="R87" i="30"/>
  <c r="Q87" i="30"/>
  <c r="N87" i="30"/>
  <c r="M87" i="30"/>
  <c r="J87" i="30"/>
  <c r="AR86" i="30"/>
  <c r="AQ86" i="30"/>
  <c r="AP86" i="30"/>
  <c r="AO86" i="30"/>
  <c r="AN86" i="30"/>
  <c r="AM86" i="30"/>
  <c r="AL86" i="30"/>
  <c r="AK86" i="30"/>
  <c r="AJ86" i="30"/>
  <c r="AI86" i="30"/>
  <c r="AH86" i="30"/>
  <c r="AG86" i="30"/>
  <c r="AF86" i="30"/>
  <c r="AE86" i="30"/>
  <c r="AD86" i="30"/>
  <c r="AC86" i="30"/>
  <c r="AB86" i="30"/>
  <c r="AA86" i="30"/>
  <c r="Z86" i="30"/>
  <c r="Y86" i="30"/>
  <c r="X86" i="30"/>
  <c r="W86" i="30"/>
  <c r="V86" i="30"/>
  <c r="U86" i="30"/>
  <c r="T86" i="30"/>
  <c r="T83" i="30" s="1"/>
  <c r="S86" i="30"/>
  <c r="R86" i="30"/>
  <c r="Q86" i="30"/>
  <c r="P86" i="30"/>
  <c r="O86" i="30"/>
  <c r="N86" i="30"/>
  <c r="N83" i="30" s="1"/>
  <c r="M86" i="30"/>
  <c r="L86" i="30"/>
  <c r="K86" i="30"/>
  <c r="J86" i="30"/>
  <c r="I86" i="30"/>
  <c r="AJ85" i="30"/>
  <c r="AJ83" i="30" s="1"/>
  <c r="AI85" i="30"/>
  <c r="AH85" i="30"/>
  <c r="AG85" i="30"/>
  <c r="AE85" i="30"/>
  <c r="AC85" i="30"/>
  <c r="X85" i="30"/>
  <c r="X83" i="30" s="1"/>
  <c r="W85" i="30"/>
  <c r="V85" i="30"/>
  <c r="T85" i="30"/>
  <c r="S85" i="30"/>
  <c r="R85" i="30"/>
  <c r="Q85" i="30"/>
  <c r="Q83" i="30" s="1"/>
  <c r="N85" i="30"/>
  <c r="M85" i="30"/>
  <c r="J85" i="30"/>
  <c r="AJ84" i="30"/>
  <c r="AI84" i="30"/>
  <c r="AH84" i="30"/>
  <c r="AH83" i="30" s="1"/>
  <c r="AG84" i="30"/>
  <c r="AE84" i="30"/>
  <c r="AC84" i="30"/>
  <c r="X84" i="30"/>
  <c r="W84" i="30"/>
  <c r="V84" i="30"/>
  <c r="V83" i="30" s="1"/>
  <c r="T84" i="30"/>
  <c r="S84" i="30"/>
  <c r="R84" i="30"/>
  <c r="Q84" i="30"/>
  <c r="N84" i="30"/>
  <c r="M84" i="30"/>
  <c r="M83" i="30" s="1"/>
  <c r="J84" i="30"/>
  <c r="AI83" i="30"/>
  <c r="AC83" i="30"/>
  <c r="W83" i="30"/>
  <c r="R83" i="30"/>
  <c r="AJ79" i="30"/>
  <c r="AI79" i="30"/>
  <c r="AH79" i="30"/>
  <c r="AG79" i="30"/>
  <c r="AF79" i="30"/>
  <c r="AE79" i="30"/>
  <c r="AC79" i="30"/>
  <c r="X79" i="30"/>
  <c r="W79" i="30"/>
  <c r="V79" i="30"/>
  <c r="T79" i="30"/>
  <c r="S79" i="30"/>
  <c r="R79" i="30"/>
  <c r="Q79" i="30"/>
  <c r="P79" i="30"/>
  <c r="N79" i="30"/>
  <c r="M79" i="30"/>
  <c r="J79" i="30"/>
  <c r="AR78" i="30"/>
  <c r="AQ78" i="30"/>
  <c r="AK78" i="30"/>
  <c r="Y78" i="30"/>
  <c r="AN78" i="30" s="1"/>
  <c r="U78" i="30"/>
  <c r="AB78" i="30" s="1"/>
  <c r="O78" i="30"/>
  <c r="L78" i="30"/>
  <c r="K78" i="30"/>
  <c r="AR77" i="30"/>
  <c r="AR79" i="30" s="1"/>
  <c r="AQ77" i="30"/>
  <c r="AK77" i="30"/>
  <c r="AB77" i="30"/>
  <c r="Y77" i="30"/>
  <c r="U77" i="30"/>
  <c r="AM77" i="30" s="1"/>
  <c r="O77" i="30"/>
  <c r="L77" i="30"/>
  <c r="AP77" i="30" s="1"/>
  <c r="K77" i="30"/>
  <c r="AR76" i="30"/>
  <c r="AQ76" i="30"/>
  <c r="AK76" i="30"/>
  <c r="AB76" i="30"/>
  <c r="Y76" i="30"/>
  <c r="U76" i="30"/>
  <c r="AM76" i="30" s="1"/>
  <c r="O76" i="30"/>
  <c r="L76" i="30"/>
  <c r="AP76" i="30" s="1"/>
  <c r="K76" i="30"/>
  <c r="AR75" i="30"/>
  <c r="AQ75" i="30"/>
  <c r="AQ79" i="30" s="1"/>
  <c r="AK75" i="30"/>
  <c r="AK79" i="30" s="1"/>
  <c r="AB75" i="30"/>
  <c r="AB79" i="30" s="1"/>
  <c r="Y75" i="30"/>
  <c r="U75" i="30"/>
  <c r="U79" i="30" s="1"/>
  <c r="O75" i="30"/>
  <c r="O79" i="30" s="1"/>
  <c r="L75" i="30"/>
  <c r="L79" i="30" s="1"/>
  <c r="K75" i="30"/>
  <c r="K79" i="30" s="1"/>
  <c r="AJ74" i="30"/>
  <c r="AI74" i="30"/>
  <c r="AH74" i="30"/>
  <c r="AG74" i="30"/>
  <c r="AF74" i="30"/>
  <c r="AE74" i="30"/>
  <c r="AC74" i="30"/>
  <c r="X74" i="30"/>
  <c r="W74" i="30"/>
  <c r="V74" i="30"/>
  <c r="T74" i="30"/>
  <c r="S74" i="30"/>
  <c r="R74" i="30"/>
  <c r="Q74" i="30"/>
  <c r="N74" i="30"/>
  <c r="M74" i="30"/>
  <c r="J74" i="30"/>
  <c r="AR73" i="30"/>
  <c r="AQ73" i="30"/>
  <c r="AK73" i="30"/>
  <c r="AB73" i="30"/>
  <c r="Y73" i="30"/>
  <c r="U73" i="30"/>
  <c r="AM73" i="30" s="1"/>
  <c r="O73" i="30"/>
  <c r="L73" i="30"/>
  <c r="AP73" i="30" s="1"/>
  <c r="K73" i="30"/>
  <c r="AQ72" i="30"/>
  <c r="AN72" i="30"/>
  <c r="AK72" i="30"/>
  <c r="AR72" i="30" s="1"/>
  <c r="Y72" i="30"/>
  <c r="P74" i="30"/>
  <c r="O72" i="30"/>
  <c r="U72" i="30" s="1"/>
  <c r="Z72" i="30" s="1"/>
  <c r="L72" i="30"/>
  <c r="K72" i="30"/>
  <c r="AQ71" i="30"/>
  <c r="AN71" i="30"/>
  <c r="AK71" i="30"/>
  <c r="AR71" i="30" s="1"/>
  <c r="AA71" i="30"/>
  <c r="Y71" i="30"/>
  <c r="U71" i="30"/>
  <c r="AM71" i="30" s="1"/>
  <c r="O71" i="30"/>
  <c r="L71" i="30"/>
  <c r="K71" i="30"/>
  <c r="AQ70" i="30"/>
  <c r="AQ74" i="30" s="1"/>
  <c r="AN70" i="30"/>
  <c r="AK70" i="30"/>
  <c r="AA70" i="30"/>
  <c r="Y70" i="30"/>
  <c r="Y74" i="30" s="1"/>
  <c r="U70" i="30"/>
  <c r="AM70" i="30" s="1"/>
  <c r="O70" i="30"/>
  <c r="O74" i="30" s="1"/>
  <c r="L70" i="30"/>
  <c r="L74" i="30" s="1"/>
  <c r="K70" i="30"/>
  <c r="AN69" i="30"/>
  <c r="AJ69" i="30"/>
  <c r="AI69" i="30"/>
  <c r="AH69" i="30"/>
  <c r="AG69" i="30"/>
  <c r="AF69" i="30"/>
  <c r="AE69" i="30"/>
  <c r="AC69" i="30"/>
  <c r="Y69" i="30"/>
  <c r="X69" i="30"/>
  <c r="W69" i="30"/>
  <c r="V69" i="30"/>
  <c r="T69" i="30"/>
  <c r="S69" i="30"/>
  <c r="R69" i="30"/>
  <c r="Q69" i="30"/>
  <c r="P69" i="30"/>
  <c r="N69" i="30"/>
  <c r="M69" i="30"/>
  <c r="J69" i="30"/>
  <c r="AQ68" i="30"/>
  <c r="AN68" i="30"/>
  <c r="AK68" i="30"/>
  <c r="AR68" i="30" s="1"/>
  <c r="AA68" i="30"/>
  <c r="Y68" i="30"/>
  <c r="U68" i="30"/>
  <c r="AM68" i="30" s="1"/>
  <c r="O68" i="30"/>
  <c r="L68" i="30"/>
  <c r="K68" i="30"/>
  <c r="AQ67" i="30"/>
  <c r="AQ69" i="30" s="1"/>
  <c r="AN67" i="30"/>
  <c r="AK67" i="30"/>
  <c r="AR67" i="30" s="1"/>
  <c r="AR69" i="30" s="1"/>
  <c r="AA67" i="30"/>
  <c r="Y67" i="30"/>
  <c r="U67" i="30"/>
  <c r="U69" i="30" s="1"/>
  <c r="O67" i="30"/>
  <c r="O69" i="30" s="1"/>
  <c r="L67" i="30"/>
  <c r="L69" i="30" s="1"/>
  <c r="K67" i="30"/>
  <c r="AJ66" i="30"/>
  <c r="AI66" i="30"/>
  <c r="AH66" i="30"/>
  <c r="AG66" i="30"/>
  <c r="AF66" i="30"/>
  <c r="AE66" i="30"/>
  <c r="AC66" i="30"/>
  <c r="X66" i="30"/>
  <c r="W66" i="30"/>
  <c r="V66" i="30"/>
  <c r="T66" i="30"/>
  <c r="S66" i="30"/>
  <c r="R66" i="30"/>
  <c r="Q66" i="30"/>
  <c r="P66" i="30"/>
  <c r="N66" i="30"/>
  <c r="M66" i="30"/>
  <c r="J66" i="30"/>
  <c r="AQ65" i="30"/>
  <c r="AN65" i="30"/>
  <c r="AK65" i="30"/>
  <c r="AR65" i="30" s="1"/>
  <c r="AA65" i="30"/>
  <c r="Y65" i="30"/>
  <c r="U65" i="30"/>
  <c r="AM65" i="30" s="1"/>
  <c r="O65" i="30"/>
  <c r="L65" i="30"/>
  <c r="K65" i="30"/>
  <c r="AQ64" i="30"/>
  <c r="AN64" i="30"/>
  <c r="AK64" i="30"/>
  <c r="AR64" i="30" s="1"/>
  <c r="AA64" i="30"/>
  <c r="Y64" i="30"/>
  <c r="U64" i="30"/>
  <c r="AM64" i="30" s="1"/>
  <c r="O64" i="30"/>
  <c r="L64" i="30"/>
  <c r="K64" i="30"/>
  <c r="AQ63" i="30"/>
  <c r="AQ66" i="30" s="1"/>
  <c r="AN63" i="30"/>
  <c r="AN66" i="30" s="1"/>
  <c r="AK63" i="30"/>
  <c r="AR63" i="30" s="1"/>
  <c r="AA63" i="30"/>
  <c r="AA66" i="30" s="1"/>
  <c r="Y63" i="30"/>
  <c r="Y66" i="30" s="1"/>
  <c r="U63" i="30"/>
  <c r="U66" i="30" s="1"/>
  <c r="O63" i="30"/>
  <c r="O66" i="30" s="1"/>
  <c r="L63" i="30"/>
  <c r="L66" i="30" s="1"/>
  <c r="K63" i="30"/>
  <c r="AN62" i="30"/>
  <c r="AJ62" i="30"/>
  <c r="AI62" i="30"/>
  <c r="AH62" i="30"/>
  <c r="AG62" i="30"/>
  <c r="AE62" i="30"/>
  <c r="AC62" i="30"/>
  <c r="X62" i="30"/>
  <c r="W62" i="30"/>
  <c r="V62" i="30"/>
  <c r="T62" i="30"/>
  <c r="S62" i="30"/>
  <c r="R62" i="30"/>
  <c r="Q62" i="30"/>
  <c r="P62" i="30"/>
  <c r="N62" i="30"/>
  <c r="M62" i="30"/>
  <c r="J62" i="30"/>
  <c r="AQ61" i="30"/>
  <c r="AN61" i="30"/>
  <c r="AK61" i="30"/>
  <c r="AR61" i="30" s="1"/>
  <c r="AF84" i="30"/>
  <c r="Y61" i="30"/>
  <c r="P84" i="30"/>
  <c r="O61" i="30"/>
  <c r="U61" i="30" s="1"/>
  <c r="L61" i="30"/>
  <c r="I61" i="30" s="1"/>
  <c r="K61" i="30"/>
  <c r="AQ60" i="30"/>
  <c r="AQ62" i="30" s="1"/>
  <c r="AN60" i="30"/>
  <c r="AK60" i="30"/>
  <c r="AK62" i="30" s="1"/>
  <c r="Y60" i="30"/>
  <c r="Y62" i="30" s="1"/>
  <c r="O60" i="30"/>
  <c r="L60" i="30"/>
  <c r="L62" i="30" s="1"/>
  <c r="K60" i="30"/>
  <c r="AJ59" i="30"/>
  <c r="AI59" i="30"/>
  <c r="AH59" i="30"/>
  <c r="AG59" i="30"/>
  <c r="AE59" i="30"/>
  <c r="AC59" i="30"/>
  <c r="X59" i="30"/>
  <c r="W59" i="30"/>
  <c r="V59" i="30"/>
  <c r="T59" i="30"/>
  <c r="S59" i="30"/>
  <c r="R59" i="30"/>
  <c r="Q59" i="30"/>
  <c r="N59" i="30"/>
  <c r="M59" i="30"/>
  <c r="L59" i="30"/>
  <c r="J59" i="30"/>
  <c r="AQ58" i="30"/>
  <c r="AK58" i="30"/>
  <c r="AR58" i="30" s="1"/>
  <c r="Y58" i="30"/>
  <c r="AN58" i="30" s="1"/>
  <c r="O58" i="30"/>
  <c r="U58" i="30" s="1"/>
  <c r="L58" i="30"/>
  <c r="K58" i="30"/>
  <c r="AQ57" i="30"/>
  <c r="Y57" i="30"/>
  <c r="AN57" i="30" s="1"/>
  <c r="U57" i="30"/>
  <c r="O57" i="30"/>
  <c r="L57" i="30"/>
  <c r="K57" i="30"/>
  <c r="I57" i="30"/>
  <c r="AR56" i="30"/>
  <c r="AQ56" i="30"/>
  <c r="AQ59" i="30" s="1"/>
  <c r="AM56" i="30"/>
  <c r="AK56" i="30"/>
  <c r="AB56" i="30"/>
  <c r="Y56" i="30"/>
  <c r="U56" i="30"/>
  <c r="O56" i="30"/>
  <c r="L56" i="30"/>
  <c r="K56" i="30"/>
  <c r="K59" i="30" s="1"/>
  <c r="I56" i="30"/>
  <c r="AJ55" i="30"/>
  <c r="AI55" i="30"/>
  <c r="AH55" i="30"/>
  <c r="AG55" i="30"/>
  <c r="AF55" i="30"/>
  <c r="AE55" i="30"/>
  <c r="AC55" i="30"/>
  <c r="X55" i="30"/>
  <c r="W55" i="30"/>
  <c r="V55" i="30"/>
  <c r="T55" i="30"/>
  <c r="S55" i="30"/>
  <c r="R55" i="30"/>
  <c r="Q55" i="30"/>
  <c r="P55" i="30"/>
  <c r="O55" i="30"/>
  <c r="N55" i="30"/>
  <c r="M55" i="30"/>
  <c r="K55" i="30"/>
  <c r="J55" i="30"/>
  <c r="AR54" i="30"/>
  <c r="AQ54" i="30"/>
  <c r="AK54" i="30"/>
  <c r="Y54" i="30"/>
  <c r="AN54" i="30" s="1"/>
  <c r="U54" i="30"/>
  <c r="O54" i="30"/>
  <c r="L54" i="30"/>
  <c r="K54" i="30"/>
  <c r="I54" i="30"/>
  <c r="AR53" i="30"/>
  <c r="AQ53" i="30"/>
  <c r="AQ55" i="30" s="1"/>
  <c r="AK53" i="30"/>
  <c r="AK55" i="30" s="1"/>
  <c r="AB53" i="30"/>
  <c r="Z53" i="30"/>
  <c r="Y53" i="30"/>
  <c r="U53" i="30"/>
  <c r="O53" i="30"/>
  <c r="L53" i="30"/>
  <c r="K53" i="30"/>
  <c r="I53" i="30"/>
  <c r="I55" i="30" s="1"/>
  <c r="AK52" i="30"/>
  <c r="AJ52" i="30"/>
  <c r="AI52" i="30"/>
  <c r="AH52" i="30"/>
  <c r="AG52" i="30"/>
  <c r="AF52" i="30"/>
  <c r="AE52" i="30"/>
  <c r="AC52" i="30"/>
  <c r="X52" i="30"/>
  <c r="W52" i="30"/>
  <c r="V52" i="30"/>
  <c r="T52" i="30"/>
  <c r="S52" i="30"/>
  <c r="R52" i="30"/>
  <c r="Q52" i="30"/>
  <c r="P52" i="30"/>
  <c r="O52" i="30"/>
  <c r="N52" i="30"/>
  <c r="M52" i="30"/>
  <c r="K52" i="30"/>
  <c r="J52" i="30"/>
  <c r="AQ51" i="30"/>
  <c r="AK51" i="30"/>
  <c r="AR51" i="30" s="1"/>
  <c r="Z51" i="30"/>
  <c r="Y51" i="30"/>
  <c r="AN51" i="30" s="1"/>
  <c r="U51" i="30"/>
  <c r="AA51" i="30" s="1"/>
  <c r="AO51" i="30" s="1"/>
  <c r="O51" i="30"/>
  <c r="L51" i="30"/>
  <c r="K51" i="30"/>
  <c r="I51" i="30"/>
  <c r="AQ50" i="30"/>
  <c r="AK50" i="30"/>
  <c r="AR50" i="30" s="1"/>
  <c r="Y50" i="30"/>
  <c r="U50" i="30"/>
  <c r="O50" i="30"/>
  <c r="L50" i="30"/>
  <c r="K50" i="30"/>
  <c r="AR49" i="30"/>
  <c r="AQ49" i="30"/>
  <c r="AM49" i="30"/>
  <c r="AK49" i="30"/>
  <c r="AB49" i="30"/>
  <c r="Y49" i="30"/>
  <c r="AN49" i="30" s="1"/>
  <c r="U49" i="30"/>
  <c r="O49" i="30"/>
  <c r="L49" i="30"/>
  <c r="I49" i="30" s="1"/>
  <c r="K49" i="30"/>
  <c r="AQ48" i="30"/>
  <c r="AQ52" i="30" s="1"/>
  <c r="AK48" i="30"/>
  <c r="AR48" i="30" s="1"/>
  <c r="Z48" i="30"/>
  <c r="Y48" i="30"/>
  <c r="AN48" i="30" s="1"/>
  <c r="U48" i="30"/>
  <c r="AA48" i="30" s="1"/>
  <c r="AO48" i="30" s="1"/>
  <c r="O48" i="30"/>
  <c r="L48" i="30"/>
  <c r="K48" i="30"/>
  <c r="I48" i="30"/>
  <c r="AJ47" i="30"/>
  <c r="AI47" i="30"/>
  <c r="AH47" i="30"/>
  <c r="AG47" i="30"/>
  <c r="AF47" i="30"/>
  <c r="AE47" i="30"/>
  <c r="AC47" i="30"/>
  <c r="X47" i="30"/>
  <c r="W47" i="30"/>
  <c r="V47" i="30"/>
  <c r="T47" i="30"/>
  <c r="S47" i="30"/>
  <c r="R47" i="30"/>
  <c r="Q47" i="30"/>
  <c r="P47" i="30"/>
  <c r="O47" i="30"/>
  <c r="N47" i="30"/>
  <c r="M47" i="30"/>
  <c r="K47" i="30"/>
  <c r="J47" i="30"/>
  <c r="AR46" i="30"/>
  <c r="AQ46" i="30"/>
  <c r="AQ47" i="30" s="1"/>
  <c r="AK46" i="30"/>
  <c r="AB46" i="30"/>
  <c r="Z46" i="30"/>
  <c r="Y46" i="30"/>
  <c r="AN46" i="30" s="1"/>
  <c r="U46" i="30"/>
  <c r="O46" i="30"/>
  <c r="L46" i="30"/>
  <c r="K46" i="30"/>
  <c r="I46" i="30"/>
  <c r="AQ45" i="30"/>
  <c r="AK45" i="30"/>
  <c r="AR45" i="30" s="1"/>
  <c r="AB45" i="30"/>
  <c r="Y45" i="30"/>
  <c r="AN45" i="30" s="1"/>
  <c r="U45" i="30"/>
  <c r="O45" i="30"/>
  <c r="L45" i="30"/>
  <c r="K45" i="30"/>
  <c r="AR44" i="30"/>
  <c r="AR47" i="30" s="1"/>
  <c r="AQ44" i="30"/>
  <c r="AK44" i="30"/>
  <c r="AB44" i="30"/>
  <c r="AB47" i="30" s="1"/>
  <c r="Y44" i="30"/>
  <c r="AN44" i="30" s="1"/>
  <c r="U44" i="30"/>
  <c r="AM44" i="30" s="1"/>
  <c r="O44" i="30"/>
  <c r="L44" i="30"/>
  <c r="K44" i="30"/>
  <c r="I44" i="30"/>
  <c r="AQ43" i="30"/>
  <c r="AJ43" i="30"/>
  <c r="AI43" i="30"/>
  <c r="AH43" i="30"/>
  <c r="AG43" i="30"/>
  <c r="AF43" i="30"/>
  <c r="AE43" i="30"/>
  <c r="AC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K43" i="30"/>
  <c r="J43" i="30"/>
  <c r="AR42" i="30"/>
  <c r="AQ42" i="30"/>
  <c r="AM42" i="30"/>
  <c r="AK42" i="30"/>
  <c r="AB42" i="30"/>
  <c r="Y42" i="30"/>
  <c r="U42" i="30"/>
  <c r="O42" i="30"/>
  <c r="L42" i="30"/>
  <c r="AP42" i="30" s="1"/>
  <c r="K42" i="30"/>
  <c r="AQ41" i="30"/>
  <c r="AN41" i="30"/>
  <c r="AM41" i="30"/>
  <c r="AK41" i="30"/>
  <c r="AK43" i="30" s="1"/>
  <c r="AB41" i="30"/>
  <c r="AA41" i="30"/>
  <c r="Z41" i="30"/>
  <c r="Y41" i="30"/>
  <c r="U41" i="30"/>
  <c r="O41" i="30"/>
  <c r="L41" i="30"/>
  <c r="K41" i="30"/>
  <c r="AO41" i="30" s="1"/>
  <c r="I41" i="30"/>
  <c r="AJ40" i="30"/>
  <c r="AI40" i="30"/>
  <c r="AH40" i="30"/>
  <c r="AG40" i="30"/>
  <c r="AF40" i="30"/>
  <c r="AE40" i="30"/>
  <c r="AC40" i="30"/>
  <c r="Y40" i="30"/>
  <c r="X40" i="30"/>
  <c r="W40" i="30"/>
  <c r="V40" i="30"/>
  <c r="T40" i="30"/>
  <c r="S40" i="30"/>
  <c r="R40" i="30"/>
  <c r="Q40" i="30"/>
  <c r="N40" i="30"/>
  <c r="M40" i="30"/>
  <c r="J40" i="30"/>
  <c r="AQ39" i="30"/>
  <c r="AN39" i="30"/>
  <c r="AK39" i="30"/>
  <c r="AR39" i="30" s="1"/>
  <c r="Y39" i="30"/>
  <c r="U39" i="30"/>
  <c r="AA39" i="30" s="1"/>
  <c r="O39" i="30"/>
  <c r="L39" i="30"/>
  <c r="K39" i="30"/>
  <c r="I39" i="30" s="1"/>
  <c r="AQ38" i="30"/>
  <c r="AN38" i="30"/>
  <c r="AK38" i="30"/>
  <c r="AR38" i="30" s="1"/>
  <c r="Y38" i="30"/>
  <c r="P40" i="30"/>
  <c r="O38" i="30"/>
  <c r="L38" i="30"/>
  <c r="K38" i="30"/>
  <c r="AQ37" i="30"/>
  <c r="AN37" i="30"/>
  <c r="AM37" i="30"/>
  <c r="AK37" i="30"/>
  <c r="AR37" i="30" s="1"/>
  <c r="AB37" i="30"/>
  <c r="Z37" i="30"/>
  <c r="Y37" i="30"/>
  <c r="U37" i="30"/>
  <c r="AA37" i="30" s="1"/>
  <c r="O37" i="30"/>
  <c r="L37" i="30"/>
  <c r="I37" i="30" s="1"/>
  <c r="K37" i="30"/>
  <c r="AQ36" i="30"/>
  <c r="AN36" i="30"/>
  <c r="AK36" i="30"/>
  <c r="AR36" i="30" s="1"/>
  <c r="Y36" i="30"/>
  <c r="O36" i="30"/>
  <c r="U36" i="30" s="1"/>
  <c r="L36" i="30"/>
  <c r="K36" i="30"/>
  <c r="I36" i="30"/>
  <c r="AQ35" i="30"/>
  <c r="AQ40" i="30" s="1"/>
  <c r="AN35" i="30"/>
  <c r="AN40" i="30" s="1"/>
  <c r="AK35" i="30"/>
  <c r="AA35" i="30"/>
  <c r="Y35" i="30"/>
  <c r="U35" i="30"/>
  <c r="O35" i="30"/>
  <c r="O40" i="30" s="1"/>
  <c r="L35" i="30"/>
  <c r="K35" i="30"/>
  <c r="AJ34" i="30"/>
  <c r="AI34" i="30"/>
  <c r="AH34" i="30"/>
  <c r="AG34" i="30"/>
  <c r="AF34" i="30"/>
  <c r="AE34" i="30"/>
  <c r="AC34" i="30"/>
  <c r="Y34" i="30"/>
  <c r="X34" i="30"/>
  <c r="W34" i="30"/>
  <c r="V34" i="30"/>
  <c r="T34" i="30"/>
  <c r="S34" i="30"/>
  <c r="R34" i="30"/>
  <c r="Q34" i="30"/>
  <c r="P34" i="30"/>
  <c r="N34" i="30"/>
  <c r="M34" i="30"/>
  <c r="J34" i="30"/>
  <c r="AQ33" i="30"/>
  <c r="AN33" i="30"/>
  <c r="AM33" i="30"/>
  <c r="AK33" i="30"/>
  <c r="AR33" i="30" s="1"/>
  <c r="Y33" i="30"/>
  <c r="O33" i="30"/>
  <c r="U33" i="30" s="1"/>
  <c r="L33" i="30"/>
  <c r="K33" i="30"/>
  <c r="AQ32" i="30"/>
  <c r="AN32" i="30"/>
  <c r="AN34" i="30" s="1"/>
  <c r="AK32" i="30"/>
  <c r="AR32" i="30" s="1"/>
  <c r="Y32" i="30"/>
  <c r="O32" i="30"/>
  <c r="U32" i="30" s="1"/>
  <c r="Z32" i="30" s="1"/>
  <c r="L32" i="30"/>
  <c r="K32" i="30"/>
  <c r="I32" i="30"/>
  <c r="AQ31" i="30"/>
  <c r="AO31" i="30"/>
  <c r="AN31" i="30"/>
  <c r="AK31" i="30"/>
  <c r="AA31" i="30"/>
  <c r="Y31" i="30"/>
  <c r="U31" i="30"/>
  <c r="O31" i="30"/>
  <c r="L31" i="30"/>
  <c r="K31" i="30"/>
  <c r="AQ30" i="30"/>
  <c r="AQ34" i="30" s="1"/>
  <c r="AN30" i="30"/>
  <c r="AK30" i="30"/>
  <c r="AR30" i="30" s="1"/>
  <c r="Y30" i="30"/>
  <c r="O30" i="30"/>
  <c r="O34" i="30" s="1"/>
  <c r="L30" i="30"/>
  <c r="L34" i="30" s="1"/>
  <c r="K30" i="30"/>
  <c r="AJ29" i="30"/>
  <c r="AI29" i="30"/>
  <c r="AH29" i="30"/>
  <c r="AG29" i="30"/>
  <c r="AF29" i="30"/>
  <c r="AE29" i="30"/>
  <c r="AC29" i="30"/>
  <c r="Y29" i="30"/>
  <c r="X29" i="30"/>
  <c r="W29" i="30"/>
  <c r="V29" i="30"/>
  <c r="T29" i="30"/>
  <c r="S29" i="30"/>
  <c r="R29" i="30"/>
  <c r="Q29" i="30"/>
  <c r="P29" i="30"/>
  <c r="N29" i="30"/>
  <c r="M29" i="30"/>
  <c r="J29" i="30"/>
  <c r="AQ28" i="30"/>
  <c r="AQ92" i="30" s="1"/>
  <c r="AN28" i="30"/>
  <c r="AN92" i="30" s="1"/>
  <c r="AK28" i="30"/>
  <c r="Y28" i="30"/>
  <c r="Y92" i="30" s="1"/>
  <c r="U28" i="30"/>
  <c r="O28" i="30"/>
  <c r="O29" i="30" s="1"/>
  <c r="L28" i="30"/>
  <c r="L92" i="30" s="1"/>
  <c r="K28" i="30"/>
  <c r="K29" i="30" s="1"/>
  <c r="AJ27" i="30"/>
  <c r="AI27" i="30"/>
  <c r="AH27" i="30"/>
  <c r="AG27" i="30"/>
  <c r="AF27" i="30"/>
  <c r="AE27" i="30"/>
  <c r="AC27" i="30"/>
  <c r="X27" i="30"/>
  <c r="W27" i="30"/>
  <c r="V27" i="30"/>
  <c r="T27" i="30"/>
  <c r="S27" i="30"/>
  <c r="R27" i="30"/>
  <c r="Q27" i="30"/>
  <c r="P27" i="30"/>
  <c r="N27" i="30"/>
  <c r="M27" i="30"/>
  <c r="L27" i="30"/>
  <c r="J27" i="30"/>
  <c r="AQ26" i="30"/>
  <c r="AN26" i="30"/>
  <c r="AK26" i="30"/>
  <c r="AR26" i="30" s="1"/>
  <c r="Y26" i="30"/>
  <c r="U26" i="30"/>
  <c r="O26" i="30"/>
  <c r="L26" i="30"/>
  <c r="K26" i="30"/>
  <c r="AQ25" i="30"/>
  <c r="AQ27" i="30" s="1"/>
  <c r="AK25" i="30"/>
  <c r="AR25" i="30" s="1"/>
  <c r="Y25" i="30"/>
  <c r="AN25" i="30" s="1"/>
  <c r="AN27" i="30" s="1"/>
  <c r="O25" i="30"/>
  <c r="U25" i="30" s="1"/>
  <c r="AB25" i="30" s="1"/>
  <c r="AP25" i="30" s="1"/>
  <c r="L25" i="30"/>
  <c r="K25" i="30"/>
  <c r="I25" i="30"/>
  <c r="AR24" i="30"/>
  <c r="AQ24" i="30"/>
  <c r="AN24" i="30"/>
  <c r="AK24" i="30"/>
  <c r="Y24" i="30"/>
  <c r="O24" i="30"/>
  <c r="U24" i="30" s="1"/>
  <c r="AM24" i="30" s="1"/>
  <c r="L24" i="30"/>
  <c r="K24" i="30"/>
  <c r="I24" i="30"/>
  <c r="AR23" i="30"/>
  <c r="AQ23" i="30"/>
  <c r="AN23" i="30"/>
  <c r="AK23" i="30"/>
  <c r="Y23" i="30"/>
  <c r="O23" i="30"/>
  <c r="L23" i="30"/>
  <c r="K23" i="30"/>
  <c r="I23" i="30"/>
  <c r="AJ22" i="30"/>
  <c r="AI22" i="30"/>
  <c r="AH22" i="30"/>
  <c r="AG22" i="30"/>
  <c r="AE22" i="30"/>
  <c r="AC22" i="30"/>
  <c r="X22" i="30"/>
  <c r="W22" i="30"/>
  <c r="V22" i="30"/>
  <c r="T22" i="30"/>
  <c r="S22" i="30"/>
  <c r="R22" i="30"/>
  <c r="Q22" i="30"/>
  <c r="P22" i="30"/>
  <c r="N22" i="30"/>
  <c r="M22" i="30"/>
  <c r="J22" i="30"/>
  <c r="AR21" i="30"/>
  <c r="AQ21" i="30"/>
  <c r="AN21" i="30"/>
  <c r="AK21" i="30"/>
  <c r="Y21" i="30"/>
  <c r="O21" i="30"/>
  <c r="U21" i="30" s="1"/>
  <c r="L21" i="30"/>
  <c r="L22" i="30" s="1"/>
  <c r="K21" i="30"/>
  <c r="I21" i="30" s="1"/>
  <c r="AR20" i="30"/>
  <c r="AQ20" i="30"/>
  <c r="AN20" i="30"/>
  <c r="AK20" i="30"/>
  <c r="Y20" i="30"/>
  <c r="Y91" i="30" s="1"/>
  <c r="O20" i="30"/>
  <c r="L20" i="30"/>
  <c r="K20" i="30"/>
  <c r="I20" i="30"/>
  <c r="AQ19" i="30"/>
  <c r="AN19" i="30"/>
  <c r="Y19" i="30"/>
  <c r="U19" i="30"/>
  <c r="O19" i="30"/>
  <c r="L19" i="30"/>
  <c r="K19" i="30"/>
  <c r="AR18" i="30"/>
  <c r="AQ18" i="30"/>
  <c r="AK18" i="30"/>
  <c r="Y18" i="30"/>
  <c r="AN18" i="30" s="1"/>
  <c r="O18" i="30"/>
  <c r="U18" i="30" s="1"/>
  <c r="L18" i="30"/>
  <c r="K18" i="30"/>
  <c r="I18" i="30" s="1"/>
  <c r="AR17" i="30"/>
  <c r="AQ17" i="30"/>
  <c r="AQ22" i="30" s="1"/>
  <c r="AK17" i="30"/>
  <c r="Y17" i="30"/>
  <c r="O17" i="30"/>
  <c r="L17" i="30"/>
  <c r="K17" i="30"/>
  <c r="I17" i="30" s="1"/>
  <c r="AJ16" i="30"/>
  <c r="AI16" i="30"/>
  <c r="AH16" i="30"/>
  <c r="AG16" i="30"/>
  <c r="AF16" i="30"/>
  <c r="AE16" i="30"/>
  <c r="AC16" i="30"/>
  <c r="X16" i="30"/>
  <c r="W16" i="30"/>
  <c r="V16" i="30"/>
  <c r="T16" i="30"/>
  <c r="S16" i="30"/>
  <c r="R16" i="30"/>
  <c r="Q16" i="30"/>
  <c r="P16" i="30"/>
  <c r="N16" i="30"/>
  <c r="M16" i="30"/>
  <c r="J16" i="30"/>
  <c r="AR15" i="30"/>
  <c r="AR93" i="30" s="1"/>
  <c r="AQ15" i="30"/>
  <c r="AQ93" i="30" s="1"/>
  <c r="AK15" i="30"/>
  <c r="AK93" i="30" s="1"/>
  <c r="Y15" i="30"/>
  <c r="O15" i="30"/>
  <c r="O93" i="30" s="1"/>
  <c r="L15" i="30"/>
  <c r="K15" i="30"/>
  <c r="K93" i="30" s="1"/>
  <c r="AJ14" i="30"/>
  <c r="AI14" i="30"/>
  <c r="AI80" i="30" s="1"/>
  <c r="AH14" i="30"/>
  <c r="AG14" i="30"/>
  <c r="AF14" i="30"/>
  <c r="AE14" i="30"/>
  <c r="AC14" i="30"/>
  <c r="AC80" i="30" s="1"/>
  <c r="X14" i="30"/>
  <c r="W14" i="30"/>
  <c r="V14" i="30"/>
  <c r="T14" i="30"/>
  <c r="T80" i="30" s="1"/>
  <c r="S14" i="30"/>
  <c r="R14" i="30"/>
  <c r="Q14" i="30"/>
  <c r="P14" i="30"/>
  <c r="N14" i="30"/>
  <c r="M14" i="30"/>
  <c r="K14" i="30"/>
  <c r="J14" i="30"/>
  <c r="AR13" i="30"/>
  <c r="AQ13" i="30"/>
  <c r="AK13" i="30"/>
  <c r="Y13" i="30"/>
  <c r="AN13" i="30" s="1"/>
  <c r="O13" i="30"/>
  <c r="U13" i="30" s="1"/>
  <c r="AB13" i="30" s="1"/>
  <c r="AP13" i="30" s="1"/>
  <c r="L13" i="30"/>
  <c r="K13" i="30"/>
  <c r="AR12" i="30"/>
  <c r="AQ12" i="30"/>
  <c r="AK12" i="30"/>
  <c r="AK84" i="30" s="1"/>
  <c r="Y12" i="30"/>
  <c r="O12" i="30"/>
  <c r="L12" i="30"/>
  <c r="K12" i="30"/>
  <c r="AJ165" i="29"/>
  <c r="AI165" i="29"/>
  <c r="AH165" i="29"/>
  <c r="AG165" i="29"/>
  <c r="AF165" i="29"/>
  <c r="AE165" i="29"/>
  <c r="AC165" i="29"/>
  <c r="X165" i="29"/>
  <c r="W165" i="29"/>
  <c r="V165" i="29"/>
  <c r="T165" i="29"/>
  <c r="S165" i="29"/>
  <c r="R165" i="29"/>
  <c r="Q165" i="29"/>
  <c r="P165" i="29"/>
  <c r="N165" i="29"/>
  <c r="M165" i="29"/>
  <c r="J165" i="29"/>
  <c r="AJ164" i="29"/>
  <c r="AI164" i="29"/>
  <c r="AH164" i="29"/>
  <c r="AG164" i="29"/>
  <c r="AF164" i="29"/>
  <c r="AE164" i="29"/>
  <c r="AC164" i="29"/>
  <c r="X164" i="29"/>
  <c r="W164" i="29"/>
  <c r="V164" i="29"/>
  <c r="T164" i="29"/>
  <c r="S164" i="29"/>
  <c r="R164" i="29"/>
  <c r="Q164" i="29"/>
  <c r="P164" i="29"/>
  <c r="N164" i="29"/>
  <c r="M164" i="29"/>
  <c r="J164" i="29"/>
  <c r="AJ163" i="29"/>
  <c r="AI163" i="29"/>
  <c r="AH163" i="29"/>
  <c r="AG163" i="29"/>
  <c r="AF163" i="29"/>
  <c r="AE163" i="29"/>
  <c r="AC163" i="29"/>
  <c r="X163" i="29"/>
  <c r="W163" i="29"/>
  <c r="V163" i="29"/>
  <c r="T163" i="29"/>
  <c r="S163" i="29"/>
  <c r="R163" i="29"/>
  <c r="Q163" i="29"/>
  <c r="P163" i="29"/>
  <c r="N163" i="29"/>
  <c r="M163" i="29"/>
  <c r="J163" i="29"/>
  <c r="AR162" i="29"/>
  <c r="AQ162" i="29"/>
  <c r="AP162" i="29"/>
  <c r="AO162" i="29"/>
  <c r="AN162" i="29"/>
  <c r="AM162" i="29"/>
  <c r="AL162" i="29"/>
  <c r="AK162" i="29"/>
  <c r="AJ162" i="29"/>
  <c r="AI162" i="29"/>
  <c r="AH162" i="29"/>
  <c r="AG162" i="29"/>
  <c r="AF162" i="29"/>
  <c r="AE162" i="29"/>
  <c r="AD162" i="29"/>
  <c r="AC162" i="29"/>
  <c r="AB162" i="29"/>
  <c r="AA162" i="29"/>
  <c r="Z162" i="29"/>
  <c r="Y162" i="29"/>
  <c r="X162" i="29"/>
  <c r="W162" i="29"/>
  <c r="V162" i="29"/>
  <c r="U162" i="29"/>
  <c r="T162" i="29"/>
  <c r="S162" i="29"/>
  <c r="R162" i="29"/>
  <c r="Q162" i="29"/>
  <c r="P162" i="29"/>
  <c r="O162" i="29"/>
  <c r="N162" i="29"/>
  <c r="M162" i="29"/>
  <c r="L162" i="29"/>
  <c r="K162" i="29"/>
  <c r="J162" i="29"/>
  <c r="I162" i="29"/>
  <c r="AR161" i="29"/>
  <c r="AQ161" i="29"/>
  <c r="AP161" i="29"/>
  <c r="AO161" i="29"/>
  <c r="AN161" i="29"/>
  <c r="AM161" i="29"/>
  <c r="AL161" i="29"/>
  <c r="AK161" i="29"/>
  <c r="AJ161" i="29"/>
  <c r="AI161" i="29"/>
  <c r="AH161" i="29"/>
  <c r="AG161" i="29"/>
  <c r="AF161" i="29"/>
  <c r="AE161" i="29"/>
  <c r="AD161" i="29"/>
  <c r="AC161" i="29"/>
  <c r="AB161" i="29"/>
  <c r="AA161" i="29"/>
  <c r="Z161" i="29"/>
  <c r="Y161" i="29"/>
  <c r="X161" i="29"/>
  <c r="W161" i="29"/>
  <c r="V161" i="29"/>
  <c r="U161" i="29"/>
  <c r="T161" i="29"/>
  <c r="S161" i="29"/>
  <c r="R161" i="29"/>
  <c r="Q161" i="29"/>
  <c r="P161" i="29"/>
  <c r="O161" i="29"/>
  <c r="N161" i="29"/>
  <c r="M161" i="29"/>
  <c r="L161" i="29"/>
  <c r="K161" i="29"/>
  <c r="J161" i="29"/>
  <c r="I161" i="29"/>
  <c r="AR160" i="29"/>
  <c r="AQ160" i="29"/>
  <c r="AP160" i="29"/>
  <c r="AO160" i="29"/>
  <c r="AN160" i="29"/>
  <c r="AM160" i="29"/>
  <c r="AL160" i="29"/>
  <c r="AK160" i="29"/>
  <c r="AJ160" i="29"/>
  <c r="AI160" i="29"/>
  <c r="AH160" i="29"/>
  <c r="AH155" i="29" s="1"/>
  <c r="AG160" i="29"/>
  <c r="AF160" i="29"/>
  <c r="AE160" i="29"/>
  <c r="AD160" i="29"/>
  <c r="AC160" i="29"/>
  <c r="AB160" i="29"/>
  <c r="AA160" i="29"/>
  <c r="Z160" i="29"/>
  <c r="Y160" i="29"/>
  <c r="X160" i="29"/>
  <c r="W160" i="29"/>
  <c r="V160" i="29"/>
  <c r="U160" i="29"/>
  <c r="T160" i="29"/>
  <c r="S160" i="29"/>
  <c r="R160" i="29"/>
  <c r="R155" i="29" s="1"/>
  <c r="Q160" i="29"/>
  <c r="P160" i="29"/>
  <c r="O160" i="29"/>
  <c r="N160" i="29"/>
  <c r="M160" i="29"/>
  <c r="L160" i="29"/>
  <c r="K160" i="29"/>
  <c r="J160" i="29"/>
  <c r="I160" i="29"/>
  <c r="AJ159" i="29"/>
  <c r="AI159" i="29"/>
  <c r="AH159" i="29"/>
  <c r="AG159" i="29"/>
  <c r="AE159" i="29"/>
  <c r="AC159" i="29"/>
  <c r="X159" i="29"/>
  <c r="W159" i="29"/>
  <c r="V159" i="29"/>
  <c r="T159" i="29"/>
  <c r="S159" i="29"/>
  <c r="R159" i="29"/>
  <c r="Q159" i="29"/>
  <c r="P159" i="29"/>
  <c r="N159" i="29"/>
  <c r="M159" i="29"/>
  <c r="J159" i="29"/>
  <c r="AR158" i="29"/>
  <c r="AQ158" i="29"/>
  <c r="AP158" i="29"/>
  <c r="AO158" i="29"/>
  <c r="AN158" i="29"/>
  <c r="AM158" i="29"/>
  <c r="AL158" i="29"/>
  <c r="AK158" i="29"/>
  <c r="AJ158" i="29"/>
  <c r="AI158" i="29"/>
  <c r="AH158" i="29"/>
  <c r="AG158" i="29"/>
  <c r="AF158" i="29"/>
  <c r="AE158" i="29"/>
  <c r="AD158" i="29"/>
  <c r="AC158" i="29"/>
  <c r="AB158" i="29"/>
  <c r="AA158" i="29"/>
  <c r="Z158" i="29"/>
  <c r="Y158" i="29"/>
  <c r="X158" i="29"/>
  <c r="W158" i="29"/>
  <c r="V158" i="29"/>
  <c r="U158" i="29"/>
  <c r="T158" i="29"/>
  <c r="S158" i="29"/>
  <c r="R158" i="29"/>
  <c r="Q158" i="29"/>
  <c r="P158" i="29"/>
  <c r="O158" i="29"/>
  <c r="N158" i="29"/>
  <c r="M158" i="29"/>
  <c r="L158" i="29"/>
  <c r="K158" i="29"/>
  <c r="J158" i="29"/>
  <c r="I158" i="29"/>
  <c r="AJ157" i="29"/>
  <c r="AI157" i="29"/>
  <c r="AH157" i="29"/>
  <c r="AG157" i="29"/>
  <c r="AE157" i="29"/>
  <c r="AC157" i="29"/>
  <c r="X157" i="29"/>
  <c r="W157" i="29"/>
  <c r="V157" i="29"/>
  <c r="T157" i="29"/>
  <c r="S157" i="29"/>
  <c r="R157" i="29"/>
  <c r="Q157" i="29"/>
  <c r="P157" i="29"/>
  <c r="N157" i="29"/>
  <c r="M157" i="29"/>
  <c r="J157" i="29"/>
  <c r="AJ156" i="29"/>
  <c r="AJ155" i="29" s="1"/>
  <c r="AI156" i="29"/>
  <c r="AH156" i="29"/>
  <c r="AG156" i="29"/>
  <c r="AF156" i="29"/>
  <c r="AE156" i="29"/>
  <c r="AC156" i="29"/>
  <c r="X156" i="29"/>
  <c r="W156" i="29"/>
  <c r="V156" i="29"/>
  <c r="T156" i="29"/>
  <c r="S156" i="29"/>
  <c r="S155" i="29" s="1"/>
  <c r="R156" i="29"/>
  <c r="Q156" i="29"/>
  <c r="P156" i="29"/>
  <c r="N156" i="29"/>
  <c r="M156" i="29"/>
  <c r="J156" i="29"/>
  <c r="AJ151" i="29"/>
  <c r="AI151" i="29"/>
  <c r="AH151" i="29"/>
  <c r="AG151" i="29"/>
  <c r="AE151" i="29"/>
  <c r="AC151" i="29"/>
  <c r="X151" i="29"/>
  <c r="W151" i="29"/>
  <c r="V151" i="29"/>
  <c r="T151" i="29"/>
  <c r="S151" i="29"/>
  <c r="R151" i="29"/>
  <c r="Q151" i="29"/>
  <c r="P151" i="29"/>
  <c r="N151" i="29"/>
  <c r="M151" i="29"/>
  <c r="J151" i="29"/>
  <c r="AQ150" i="29"/>
  <c r="AK150" i="29"/>
  <c r="AR150" i="29" s="1"/>
  <c r="Y150" i="29"/>
  <c r="AN150" i="29" s="1"/>
  <c r="O150" i="29"/>
  <c r="U150" i="29" s="1"/>
  <c r="AM150" i="29" s="1"/>
  <c r="L150" i="29"/>
  <c r="K150" i="29"/>
  <c r="AQ149" i="29"/>
  <c r="Y149" i="29"/>
  <c r="AN149" i="29" s="1"/>
  <c r="O149" i="29"/>
  <c r="U149" i="29" s="1"/>
  <c r="AM149" i="29" s="1"/>
  <c r="L149" i="29"/>
  <c r="K149" i="29"/>
  <c r="AQ148" i="29"/>
  <c r="AK148" i="29"/>
  <c r="AR148" i="29" s="1"/>
  <c r="Y148" i="29"/>
  <c r="AN148" i="29" s="1"/>
  <c r="O148" i="29"/>
  <c r="U148" i="29" s="1"/>
  <c r="AA148" i="29" s="1"/>
  <c r="L148" i="29"/>
  <c r="K148" i="29"/>
  <c r="AQ147" i="29"/>
  <c r="AK147" i="29"/>
  <c r="AR147" i="29" s="1"/>
  <c r="Y147" i="29"/>
  <c r="AN147" i="29" s="1"/>
  <c r="O147" i="29"/>
  <c r="U147" i="29" s="1"/>
  <c r="L147" i="29"/>
  <c r="K147" i="29"/>
  <c r="AQ146" i="29"/>
  <c r="AK146" i="29"/>
  <c r="Y146" i="29"/>
  <c r="U146" i="29"/>
  <c r="O146" i="29"/>
  <c r="L146" i="29"/>
  <c r="K146" i="29"/>
  <c r="AJ145" i="29"/>
  <c r="AI145" i="29"/>
  <c r="AH145" i="29"/>
  <c r="AG145" i="29"/>
  <c r="AE145" i="29"/>
  <c r="AC145" i="29"/>
  <c r="X145" i="29"/>
  <c r="W145" i="29"/>
  <c r="V145" i="29"/>
  <c r="T145" i="29"/>
  <c r="S145" i="29"/>
  <c r="R145" i="29"/>
  <c r="Q145" i="29"/>
  <c r="P145" i="29"/>
  <c r="N145" i="29"/>
  <c r="M145" i="29"/>
  <c r="J145" i="29"/>
  <c r="AQ144" i="29"/>
  <c r="AK144" i="29"/>
  <c r="AR144" i="29" s="1"/>
  <c r="Y144" i="29"/>
  <c r="AN144" i="29" s="1"/>
  <c r="O144" i="29"/>
  <c r="U144" i="29" s="1"/>
  <c r="L144" i="29"/>
  <c r="K144" i="29"/>
  <c r="AQ143" i="29"/>
  <c r="AF143" i="29"/>
  <c r="Y143" i="29"/>
  <c r="AN143" i="29" s="1"/>
  <c r="O143" i="29"/>
  <c r="U143" i="29" s="1"/>
  <c r="L143" i="29"/>
  <c r="K143" i="29"/>
  <c r="AR142" i="29"/>
  <c r="AQ142" i="29"/>
  <c r="AK142" i="29"/>
  <c r="Y142" i="29"/>
  <c r="AN142" i="29" s="1"/>
  <c r="O142" i="29"/>
  <c r="U142" i="29" s="1"/>
  <c r="AB142" i="29" s="1"/>
  <c r="L142" i="29"/>
  <c r="L145" i="29" s="1"/>
  <c r="K142" i="29"/>
  <c r="AJ141" i="29"/>
  <c r="AI141" i="29"/>
  <c r="AH141" i="29"/>
  <c r="AG141" i="29"/>
  <c r="AF141" i="29"/>
  <c r="AE141" i="29"/>
  <c r="AC141" i="29"/>
  <c r="X141" i="29"/>
  <c r="W141" i="29"/>
  <c r="V141" i="29"/>
  <c r="T141" i="29"/>
  <c r="S141" i="29"/>
  <c r="R141" i="29"/>
  <c r="Q141" i="29"/>
  <c r="P141" i="29"/>
  <c r="N141" i="29"/>
  <c r="M141" i="29"/>
  <c r="J141" i="29"/>
  <c r="AQ140" i="29"/>
  <c r="AK140" i="29"/>
  <c r="Y140" i="29"/>
  <c r="AN140" i="29" s="1"/>
  <c r="U140" i="29"/>
  <c r="O140" i="29"/>
  <c r="L140" i="29"/>
  <c r="K140" i="29"/>
  <c r="AQ139" i="29"/>
  <c r="AK139" i="29"/>
  <c r="AR139" i="29" s="1"/>
  <c r="Y139" i="29"/>
  <c r="AN139" i="29" s="1"/>
  <c r="O139" i="29"/>
  <c r="L139" i="29"/>
  <c r="K139" i="29"/>
  <c r="AJ138" i="29"/>
  <c r="AI138" i="29"/>
  <c r="AH138" i="29"/>
  <c r="AG138" i="29"/>
  <c r="AF138" i="29"/>
  <c r="AE138" i="29"/>
  <c r="AC138" i="29"/>
  <c r="X138" i="29"/>
  <c r="W138" i="29"/>
  <c r="V138" i="29"/>
  <c r="T138" i="29"/>
  <c r="S138" i="29"/>
  <c r="R138" i="29"/>
  <c r="Q138" i="29"/>
  <c r="P138" i="29"/>
  <c r="N138" i="29"/>
  <c r="M138" i="29"/>
  <c r="J138" i="29"/>
  <c r="AQ137" i="29"/>
  <c r="AK137" i="29"/>
  <c r="AR137" i="29" s="1"/>
  <c r="Y137" i="29"/>
  <c r="AN137" i="29" s="1"/>
  <c r="O137" i="29"/>
  <c r="U137" i="29" s="1"/>
  <c r="L137" i="29"/>
  <c r="K137" i="29"/>
  <c r="AR136" i="29"/>
  <c r="AQ136" i="29"/>
  <c r="AK136" i="29"/>
  <c r="Y136" i="29"/>
  <c r="AN136" i="29" s="1"/>
  <c r="O136" i="29"/>
  <c r="U136" i="29" s="1"/>
  <c r="AB136" i="29" s="1"/>
  <c r="L136" i="29"/>
  <c r="K136" i="29"/>
  <c r="AQ135" i="29"/>
  <c r="AK135" i="29"/>
  <c r="AR135" i="29" s="1"/>
  <c r="Y135" i="29"/>
  <c r="O135" i="29"/>
  <c r="U135" i="29" s="1"/>
  <c r="AB135" i="29" s="1"/>
  <c r="L135" i="29"/>
  <c r="K135" i="29"/>
  <c r="AQ134" i="29"/>
  <c r="AQ138" i="29" s="1"/>
  <c r="AK134" i="29"/>
  <c r="Y134" i="29"/>
  <c r="AN134" i="29" s="1"/>
  <c r="U134" i="29"/>
  <c r="O134" i="29"/>
  <c r="L134" i="29"/>
  <c r="K134" i="29"/>
  <c r="I134" i="29" s="1"/>
  <c r="AJ133" i="29"/>
  <c r="AI133" i="29"/>
  <c r="AH133" i="29"/>
  <c r="AG133" i="29"/>
  <c r="AF133" i="29"/>
  <c r="AE133" i="29"/>
  <c r="AC133" i="29"/>
  <c r="X133" i="29"/>
  <c r="W133" i="29"/>
  <c r="V133" i="29"/>
  <c r="T133" i="29"/>
  <c r="S133" i="29"/>
  <c r="R133" i="29"/>
  <c r="Q133" i="29"/>
  <c r="P133" i="29"/>
  <c r="N133" i="29"/>
  <c r="M133" i="29"/>
  <c r="J133" i="29"/>
  <c r="AR132" i="29"/>
  <c r="AQ132" i="29"/>
  <c r="AK132" i="29"/>
  <c r="Y132" i="29"/>
  <c r="AN132" i="29" s="1"/>
  <c r="O132" i="29"/>
  <c r="U132" i="29" s="1"/>
  <c r="AB132" i="29" s="1"/>
  <c r="L132" i="29"/>
  <c r="K132" i="29"/>
  <c r="AQ131" i="29"/>
  <c r="AK131" i="29"/>
  <c r="Y131" i="29"/>
  <c r="O131" i="29"/>
  <c r="O133" i="29" s="1"/>
  <c r="L131" i="29"/>
  <c r="K131" i="29"/>
  <c r="AJ130" i="29"/>
  <c r="AI130" i="29"/>
  <c r="AH130" i="29"/>
  <c r="AG130" i="29"/>
  <c r="AF130" i="29"/>
  <c r="AE130" i="29"/>
  <c r="AC130" i="29"/>
  <c r="X130" i="29"/>
  <c r="W130" i="29"/>
  <c r="V130" i="29"/>
  <c r="T130" i="29"/>
  <c r="S130" i="29"/>
  <c r="R130" i="29"/>
  <c r="Q130" i="29"/>
  <c r="P130" i="29"/>
  <c r="N130" i="29"/>
  <c r="M130" i="29"/>
  <c r="J130" i="29"/>
  <c r="AQ129" i="29"/>
  <c r="AK129" i="29"/>
  <c r="AR129" i="29" s="1"/>
  <c r="Y129" i="29"/>
  <c r="AN129" i="29" s="1"/>
  <c r="O129" i="29"/>
  <c r="U129" i="29" s="1"/>
  <c r="AA129" i="29" s="1"/>
  <c r="L129" i="29"/>
  <c r="K129" i="29"/>
  <c r="AQ128" i="29"/>
  <c r="AK128" i="29"/>
  <c r="AR128" i="29" s="1"/>
  <c r="Y128" i="29"/>
  <c r="AN128" i="29" s="1"/>
  <c r="U128" i="29"/>
  <c r="O128" i="29"/>
  <c r="L128" i="29"/>
  <c r="K128" i="29"/>
  <c r="AQ127" i="29"/>
  <c r="AK127" i="29"/>
  <c r="AR127" i="29" s="1"/>
  <c r="Y127" i="29"/>
  <c r="O127" i="29"/>
  <c r="U127" i="29" s="1"/>
  <c r="AA127" i="29" s="1"/>
  <c r="L127" i="29"/>
  <c r="K127" i="29"/>
  <c r="AJ126" i="29"/>
  <c r="AI126" i="29"/>
  <c r="AH126" i="29"/>
  <c r="AG126" i="29"/>
  <c r="AF126" i="29"/>
  <c r="AE126" i="29"/>
  <c r="AC126" i="29"/>
  <c r="X126" i="29"/>
  <c r="W126" i="29"/>
  <c r="V126" i="29"/>
  <c r="T126" i="29"/>
  <c r="S126" i="29"/>
  <c r="R126" i="29"/>
  <c r="Q126" i="29"/>
  <c r="P126" i="29"/>
  <c r="N126" i="29"/>
  <c r="M126" i="29"/>
  <c r="L126" i="29"/>
  <c r="J126" i="29"/>
  <c r="AQ125" i="29"/>
  <c r="AK125" i="29"/>
  <c r="AR125" i="29" s="1"/>
  <c r="Y125" i="29"/>
  <c r="AN125" i="29" s="1"/>
  <c r="O125" i="29"/>
  <c r="U125" i="29" s="1"/>
  <c r="AB125" i="29" s="1"/>
  <c r="AP125" i="29" s="1"/>
  <c r="L125" i="29"/>
  <c r="K125" i="29"/>
  <c r="I125" i="29" s="1"/>
  <c r="AQ124" i="29"/>
  <c r="AQ126" i="29" s="1"/>
  <c r="AN124" i="29"/>
  <c r="AK124" i="29"/>
  <c r="AR124" i="29" s="1"/>
  <c r="Y124" i="29"/>
  <c r="Y126" i="29" s="1"/>
  <c r="O124" i="29"/>
  <c r="U124" i="29" s="1"/>
  <c r="L124" i="29"/>
  <c r="K124" i="29"/>
  <c r="I124" i="29" s="1"/>
  <c r="AJ123" i="29"/>
  <c r="AI123" i="29"/>
  <c r="AH123" i="29"/>
  <c r="AG123" i="29"/>
  <c r="AF123" i="29"/>
  <c r="AE123" i="29"/>
  <c r="AC123" i="29"/>
  <c r="X123" i="29"/>
  <c r="W123" i="29"/>
  <c r="V123" i="29"/>
  <c r="T123" i="29"/>
  <c r="S123" i="29"/>
  <c r="R123" i="29"/>
  <c r="Q123" i="29"/>
  <c r="P123" i="29"/>
  <c r="N123" i="29"/>
  <c r="M123" i="29"/>
  <c r="J123" i="29"/>
  <c r="AQ122" i="29"/>
  <c r="AK122" i="29"/>
  <c r="AR122" i="29" s="1"/>
  <c r="Y122" i="29"/>
  <c r="AN122" i="29" s="1"/>
  <c r="U122" i="29"/>
  <c r="AB122" i="29" s="1"/>
  <c r="O122" i="29"/>
  <c r="L122" i="29"/>
  <c r="K122" i="29"/>
  <c r="AQ121" i="29"/>
  <c r="AK121" i="29"/>
  <c r="AR121" i="29" s="1"/>
  <c r="Y121" i="29"/>
  <c r="AN121" i="29" s="1"/>
  <c r="O121" i="29"/>
  <c r="U121" i="29" s="1"/>
  <c r="L121" i="29"/>
  <c r="K121" i="29"/>
  <c r="AQ120" i="29"/>
  <c r="AK120" i="29"/>
  <c r="AR120" i="29" s="1"/>
  <c r="Y120" i="29"/>
  <c r="AN120" i="29" s="1"/>
  <c r="U120" i="29"/>
  <c r="AB120" i="29" s="1"/>
  <c r="AP120" i="29" s="1"/>
  <c r="O120" i="29"/>
  <c r="L120" i="29"/>
  <c r="K120" i="29"/>
  <c r="AQ119" i="29"/>
  <c r="AK119" i="29"/>
  <c r="Y119" i="29"/>
  <c r="Y123" i="29" s="1"/>
  <c r="U119" i="29"/>
  <c r="AB119" i="29" s="1"/>
  <c r="AP119" i="29" s="1"/>
  <c r="O119" i="29"/>
  <c r="L119" i="29"/>
  <c r="K119" i="29"/>
  <c r="AJ118" i="29"/>
  <c r="AI118" i="29"/>
  <c r="AH118" i="29"/>
  <c r="AG118" i="29"/>
  <c r="AF118" i="29"/>
  <c r="AE118" i="29"/>
  <c r="AC118" i="29"/>
  <c r="X118" i="29"/>
  <c r="W118" i="29"/>
  <c r="V118" i="29"/>
  <c r="T118" i="29"/>
  <c r="S118" i="29"/>
  <c r="R118" i="29"/>
  <c r="Q118" i="29"/>
  <c r="P118" i="29"/>
  <c r="N118" i="29"/>
  <c r="M118" i="29"/>
  <c r="J118" i="29"/>
  <c r="AQ117" i="29"/>
  <c r="AK117" i="29"/>
  <c r="AR117" i="29" s="1"/>
  <c r="Y117" i="29"/>
  <c r="AN117" i="29" s="1"/>
  <c r="U117" i="29"/>
  <c r="O117" i="29"/>
  <c r="L117" i="29"/>
  <c r="K117" i="29"/>
  <c r="AQ116" i="29"/>
  <c r="AK116" i="29"/>
  <c r="AR116" i="29" s="1"/>
  <c r="Y116" i="29"/>
  <c r="AN116" i="29" s="1"/>
  <c r="O116" i="29"/>
  <c r="U116" i="29" s="1"/>
  <c r="L116" i="29"/>
  <c r="K116" i="29"/>
  <c r="AQ115" i="29"/>
  <c r="AK115" i="29"/>
  <c r="AR115" i="29" s="1"/>
  <c r="Y115" i="29"/>
  <c r="AN115" i="29" s="1"/>
  <c r="U115" i="29"/>
  <c r="O115" i="29"/>
  <c r="L115" i="29"/>
  <c r="K115" i="29"/>
  <c r="AQ114" i="29"/>
  <c r="AK114" i="29"/>
  <c r="AR114" i="29" s="1"/>
  <c r="Y114" i="29"/>
  <c r="AN114" i="29" s="1"/>
  <c r="O114" i="29"/>
  <c r="U114" i="29" s="1"/>
  <c r="L114" i="29"/>
  <c r="I114" i="29" s="1"/>
  <c r="K114" i="29"/>
  <c r="AQ113" i="29"/>
  <c r="AK113" i="29"/>
  <c r="AR113" i="29" s="1"/>
  <c r="Y113" i="29"/>
  <c r="AN113" i="29" s="1"/>
  <c r="O113" i="29"/>
  <c r="U113" i="29" s="1"/>
  <c r="L113" i="29"/>
  <c r="K113" i="29"/>
  <c r="AJ112" i="29"/>
  <c r="AI112" i="29"/>
  <c r="AH112" i="29"/>
  <c r="AG112" i="29"/>
  <c r="AF112" i="29"/>
  <c r="AE112" i="29"/>
  <c r="AC112" i="29"/>
  <c r="X112" i="29"/>
  <c r="W112" i="29"/>
  <c r="V112" i="29"/>
  <c r="T112" i="29"/>
  <c r="S112" i="29"/>
  <c r="R112" i="29"/>
  <c r="Q112" i="29"/>
  <c r="P112" i="29"/>
  <c r="N112" i="29"/>
  <c r="M112" i="29"/>
  <c r="J112" i="29"/>
  <c r="AQ111" i="29"/>
  <c r="AQ164" i="29" s="1"/>
  <c r="AK111" i="29"/>
  <c r="Y111" i="29"/>
  <c r="Y164" i="29" s="1"/>
  <c r="O111" i="29"/>
  <c r="O164" i="29" s="1"/>
  <c r="L111" i="29"/>
  <c r="L164" i="29" s="1"/>
  <c r="K111" i="29"/>
  <c r="AJ110" i="29"/>
  <c r="AI110" i="29"/>
  <c r="AH110" i="29"/>
  <c r="AG110" i="29"/>
  <c r="AE110" i="29"/>
  <c r="AC110" i="29"/>
  <c r="X110" i="29"/>
  <c r="W110" i="29"/>
  <c r="V110" i="29"/>
  <c r="T110" i="29"/>
  <c r="S110" i="29"/>
  <c r="R110" i="29"/>
  <c r="Q110" i="29"/>
  <c r="P110" i="29"/>
  <c r="N110" i="29"/>
  <c r="M110" i="29"/>
  <c r="J110" i="29"/>
  <c r="AQ109" i="29"/>
  <c r="AK109" i="29"/>
  <c r="AR109" i="29" s="1"/>
  <c r="Y109" i="29"/>
  <c r="AN109" i="29" s="1"/>
  <c r="AN110" i="29" s="1"/>
  <c r="O109" i="29"/>
  <c r="L109" i="29"/>
  <c r="K109" i="29"/>
  <c r="AQ108" i="29"/>
  <c r="AN108" i="29"/>
  <c r="AF108" i="29"/>
  <c r="AF110" i="29" s="1"/>
  <c r="Y108" i="29"/>
  <c r="U108" i="29"/>
  <c r="AB108" i="29" s="1"/>
  <c r="O108" i="29"/>
  <c r="L108" i="29"/>
  <c r="K108" i="29"/>
  <c r="AQ107" i="29"/>
  <c r="AN107" i="29"/>
  <c r="AK107" i="29"/>
  <c r="Y107" i="29"/>
  <c r="U107" i="29"/>
  <c r="O107" i="29"/>
  <c r="L107" i="29"/>
  <c r="K107" i="29"/>
  <c r="AQ106" i="29"/>
  <c r="AN106" i="29"/>
  <c r="AK106" i="29"/>
  <c r="AR106" i="29" s="1"/>
  <c r="Y106" i="29"/>
  <c r="U106" i="29"/>
  <c r="O106" i="29"/>
  <c r="L106" i="29"/>
  <c r="K106" i="29"/>
  <c r="AJ105" i="29"/>
  <c r="AI105" i="29"/>
  <c r="AH105" i="29"/>
  <c r="AG105" i="29"/>
  <c r="AF105" i="29"/>
  <c r="AE105" i="29"/>
  <c r="AC105" i="29"/>
  <c r="X105" i="29"/>
  <c r="W105" i="29"/>
  <c r="V105" i="29"/>
  <c r="T105" i="29"/>
  <c r="S105" i="29"/>
  <c r="R105" i="29"/>
  <c r="Q105" i="29"/>
  <c r="P105" i="29"/>
  <c r="N105" i="29"/>
  <c r="M105" i="29"/>
  <c r="J105" i="29"/>
  <c r="AQ104" i="29"/>
  <c r="AK104" i="29"/>
  <c r="AR104" i="29" s="1"/>
  <c r="Y104" i="29"/>
  <c r="AA104" i="29" s="1"/>
  <c r="U104" i="29"/>
  <c r="AM104" i="29" s="1"/>
  <c r="O104" i="29"/>
  <c r="L104" i="29"/>
  <c r="K104" i="29"/>
  <c r="AQ103" i="29"/>
  <c r="AK103" i="29"/>
  <c r="AR103" i="29" s="1"/>
  <c r="Y103" i="29"/>
  <c r="AN103" i="29" s="1"/>
  <c r="U103" i="29"/>
  <c r="O103" i="29"/>
  <c r="L103" i="29"/>
  <c r="K103" i="29"/>
  <c r="AQ102" i="29"/>
  <c r="AK102" i="29"/>
  <c r="AR102" i="29" s="1"/>
  <c r="Y102" i="29"/>
  <c r="Y105" i="29" s="1"/>
  <c r="U102" i="29"/>
  <c r="O102" i="29"/>
  <c r="O105" i="29" s="1"/>
  <c r="L102" i="29"/>
  <c r="K102" i="29"/>
  <c r="AJ101" i="29"/>
  <c r="AI101" i="29"/>
  <c r="AH101" i="29"/>
  <c r="AG101" i="29"/>
  <c r="AF101" i="29"/>
  <c r="AE101" i="29"/>
  <c r="AC101" i="29"/>
  <c r="X101" i="29"/>
  <c r="W101" i="29"/>
  <c r="V101" i="29"/>
  <c r="T101" i="29"/>
  <c r="S101" i="29"/>
  <c r="R101" i="29"/>
  <c r="Q101" i="29"/>
  <c r="P101" i="29"/>
  <c r="N101" i="29"/>
  <c r="M101" i="29"/>
  <c r="J101" i="29"/>
  <c r="AQ100" i="29"/>
  <c r="AK100" i="29"/>
  <c r="AR100" i="29" s="1"/>
  <c r="Y100" i="29"/>
  <c r="AN100" i="29" s="1"/>
  <c r="U100" i="29"/>
  <c r="AM100" i="29" s="1"/>
  <c r="O100" i="29"/>
  <c r="L100" i="29"/>
  <c r="K100" i="29"/>
  <c r="I100" i="29" s="1"/>
  <c r="AQ99" i="29"/>
  <c r="AM99" i="29"/>
  <c r="AK99" i="29"/>
  <c r="AR99" i="29" s="1"/>
  <c r="Y99" i="29"/>
  <c r="AN99" i="29" s="1"/>
  <c r="O99" i="29"/>
  <c r="U99" i="29" s="1"/>
  <c r="AB99" i="29" s="1"/>
  <c r="L99" i="29"/>
  <c r="K99" i="29"/>
  <c r="I99" i="29" s="1"/>
  <c r="AQ98" i="29"/>
  <c r="AK98" i="29"/>
  <c r="AR98" i="29" s="1"/>
  <c r="AB98" i="29"/>
  <c r="Y98" i="29"/>
  <c r="AN98" i="29" s="1"/>
  <c r="O98" i="29"/>
  <c r="U98" i="29" s="1"/>
  <c r="AM98" i="29" s="1"/>
  <c r="L98" i="29"/>
  <c r="K98" i="29"/>
  <c r="AQ97" i="29"/>
  <c r="AK97" i="29"/>
  <c r="AB97" i="29"/>
  <c r="Y97" i="29"/>
  <c r="AN97" i="29" s="1"/>
  <c r="O97" i="29"/>
  <c r="U97" i="29" s="1"/>
  <c r="L97" i="29"/>
  <c r="I97" i="29" s="1"/>
  <c r="K97" i="29"/>
  <c r="AJ96" i="29"/>
  <c r="AI96" i="29"/>
  <c r="AH96" i="29"/>
  <c r="AG96" i="29"/>
  <c r="AF96" i="29"/>
  <c r="AE96" i="29"/>
  <c r="AC96" i="29"/>
  <c r="X96" i="29"/>
  <c r="W96" i="29"/>
  <c r="V96" i="29"/>
  <c r="T96" i="29"/>
  <c r="S96" i="29"/>
  <c r="R96" i="29"/>
  <c r="Q96" i="29"/>
  <c r="P96" i="29"/>
  <c r="N96" i="29"/>
  <c r="M96" i="29"/>
  <c r="J96" i="29"/>
  <c r="AR95" i="29"/>
  <c r="AQ95" i="29"/>
  <c r="AN95" i="29"/>
  <c r="AK95" i="29"/>
  <c r="Y95" i="29"/>
  <c r="O95" i="29"/>
  <c r="U95" i="29" s="1"/>
  <c r="L95" i="29"/>
  <c r="K95" i="29"/>
  <c r="AQ94" i="29"/>
  <c r="AK94" i="29"/>
  <c r="AR94" i="29" s="1"/>
  <c r="Y94" i="29"/>
  <c r="AN94" i="29" s="1"/>
  <c r="O94" i="29"/>
  <c r="U94" i="29" s="1"/>
  <c r="AB94" i="29" s="1"/>
  <c r="AP94" i="29" s="1"/>
  <c r="L94" i="29"/>
  <c r="K94" i="29"/>
  <c r="AQ93" i="29"/>
  <c r="AK93" i="29"/>
  <c r="AR93" i="29" s="1"/>
  <c r="Y93" i="29"/>
  <c r="O93" i="29"/>
  <c r="U93" i="29" s="1"/>
  <c r="AB93" i="29" s="1"/>
  <c r="L93" i="29"/>
  <c r="K93" i="29"/>
  <c r="AQ92" i="29"/>
  <c r="AK92" i="29"/>
  <c r="Y92" i="29"/>
  <c r="AN92" i="29" s="1"/>
  <c r="O92" i="29"/>
  <c r="U92" i="29" s="1"/>
  <c r="AM92" i="29" s="1"/>
  <c r="L92" i="29"/>
  <c r="K92" i="29"/>
  <c r="AJ91" i="29"/>
  <c r="AI91" i="29"/>
  <c r="AH91" i="29"/>
  <c r="AG91" i="29"/>
  <c r="AF91" i="29"/>
  <c r="AE91" i="29"/>
  <c r="AC91" i="29"/>
  <c r="X91" i="29"/>
  <c r="W91" i="29"/>
  <c r="V91" i="29"/>
  <c r="T91" i="29"/>
  <c r="S91" i="29"/>
  <c r="R91" i="29"/>
  <c r="Q91" i="29"/>
  <c r="P91" i="29"/>
  <c r="N91" i="29"/>
  <c r="M91" i="29"/>
  <c r="J91" i="29"/>
  <c r="AQ90" i="29"/>
  <c r="AK90" i="29"/>
  <c r="AR90" i="29" s="1"/>
  <c r="Y90" i="29"/>
  <c r="AN90" i="29" s="1"/>
  <c r="O90" i="29"/>
  <c r="U90" i="29" s="1"/>
  <c r="L90" i="29"/>
  <c r="K90" i="29"/>
  <c r="AQ89" i="29"/>
  <c r="AK89" i="29"/>
  <c r="AR89" i="29" s="1"/>
  <c r="Y89" i="29"/>
  <c r="AN89" i="29" s="1"/>
  <c r="O89" i="29"/>
  <c r="U89" i="29" s="1"/>
  <c r="AA89" i="29" s="1"/>
  <c r="L89" i="29"/>
  <c r="K89" i="29"/>
  <c r="AQ88" i="29"/>
  <c r="AN88" i="29"/>
  <c r="AK88" i="29"/>
  <c r="AR88" i="29" s="1"/>
  <c r="Y88" i="29"/>
  <c r="O88" i="29"/>
  <c r="U88" i="29" s="1"/>
  <c r="AM88" i="29" s="1"/>
  <c r="L88" i="29"/>
  <c r="K88" i="29"/>
  <c r="AR87" i="29"/>
  <c r="AQ87" i="29"/>
  <c r="AK87" i="29"/>
  <c r="Y87" i="29"/>
  <c r="O87" i="29"/>
  <c r="U87" i="29" s="1"/>
  <c r="AM87" i="29" s="1"/>
  <c r="L87" i="29"/>
  <c r="K87" i="29"/>
  <c r="AJ86" i="29"/>
  <c r="AI86" i="29"/>
  <c r="AH86" i="29"/>
  <c r="AG86" i="29"/>
  <c r="AF86" i="29"/>
  <c r="AE86" i="29"/>
  <c r="AC86" i="29"/>
  <c r="X86" i="29"/>
  <c r="W86" i="29"/>
  <c r="V86" i="29"/>
  <c r="T86" i="29"/>
  <c r="S86" i="29"/>
  <c r="R86" i="29"/>
  <c r="Q86" i="29"/>
  <c r="P86" i="29"/>
  <c r="N86" i="29"/>
  <c r="M86" i="29"/>
  <c r="J86" i="29"/>
  <c r="AQ85" i="29"/>
  <c r="AK85" i="29"/>
  <c r="AR85" i="29" s="1"/>
  <c r="Y85" i="29"/>
  <c r="AN85" i="29" s="1"/>
  <c r="O85" i="29"/>
  <c r="U85" i="29" s="1"/>
  <c r="L85" i="29"/>
  <c r="K85" i="29"/>
  <c r="AQ84" i="29"/>
  <c r="AN84" i="29"/>
  <c r="AK84" i="29"/>
  <c r="AR84" i="29" s="1"/>
  <c r="Y84" i="29"/>
  <c r="O84" i="29"/>
  <c r="U84" i="29" s="1"/>
  <c r="L84" i="29"/>
  <c r="K84" i="29"/>
  <c r="AQ83" i="29"/>
  <c r="AN83" i="29"/>
  <c r="AK83" i="29"/>
  <c r="AR83" i="29" s="1"/>
  <c r="Y83" i="29"/>
  <c r="O83" i="29"/>
  <c r="U83" i="29" s="1"/>
  <c r="AM83" i="29" s="1"/>
  <c r="L83" i="29"/>
  <c r="K83" i="29"/>
  <c r="AR82" i="29"/>
  <c r="AQ82" i="29"/>
  <c r="AK82" i="29"/>
  <c r="Y82" i="29"/>
  <c r="AN82" i="29" s="1"/>
  <c r="O82" i="29"/>
  <c r="L82" i="29"/>
  <c r="K82" i="29"/>
  <c r="AJ81" i="29"/>
  <c r="AI81" i="29"/>
  <c r="AH81" i="29"/>
  <c r="AG81" i="29"/>
  <c r="AF81" i="29"/>
  <c r="AE81" i="29"/>
  <c r="AC81" i="29"/>
  <c r="X81" i="29"/>
  <c r="W81" i="29"/>
  <c r="V81" i="29"/>
  <c r="T81" i="29"/>
  <c r="S81" i="29"/>
  <c r="R81" i="29"/>
  <c r="Q81" i="29"/>
  <c r="P81" i="29"/>
  <c r="N81" i="29"/>
  <c r="M81" i="29"/>
  <c r="J81" i="29"/>
  <c r="AQ80" i="29"/>
  <c r="AK80" i="29"/>
  <c r="AR80" i="29" s="1"/>
  <c r="Y80" i="29"/>
  <c r="AN80" i="29" s="1"/>
  <c r="O80" i="29"/>
  <c r="U80" i="29" s="1"/>
  <c r="AA80" i="29" s="1"/>
  <c r="AO80" i="29" s="1"/>
  <c r="L80" i="29"/>
  <c r="K80" i="29"/>
  <c r="AQ79" i="29"/>
  <c r="AK79" i="29"/>
  <c r="AR79" i="29" s="1"/>
  <c r="Y79" i="29"/>
  <c r="AN79" i="29" s="1"/>
  <c r="O79" i="29"/>
  <c r="U79" i="29" s="1"/>
  <c r="L79" i="29"/>
  <c r="K79" i="29"/>
  <c r="I79" i="29" s="1"/>
  <c r="AQ78" i="29"/>
  <c r="AK78" i="29"/>
  <c r="AR78" i="29" s="1"/>
  <c r="Y78" i="29"/>
  <c r="AN78" i="29" s="1"/>
  <c r="O78" i="29"/>
  <c r="U78" i="29" s="1"/>
  <c r="L78" i="29"/>
  <c r="K78" i="29"/>
  <c r="AQ77" i="29"/>
  <c r="AK77" i="29"/>
  <c r="AR77" i="29" s="1"/>
  <c r="Y77" i="29"/>
  <c r="O77" i="29"/>
  <c r="L77" i="29"/>
  <c r="K77" i="29"/>
  <c r="AJ76" i="29"/>
  <c r="AI76" i="29"/>
  <c r="AH76" i="29"/>
  <c r="AG76" i="29"/>
  <c r="AF76" i="29"/>
  <c r="AE76" i="29"/>
  <c r="AC76" i="29"/>
  <c r="X76" i="29"/>
  <c r="W76" i="29"/>
  <c r="V76" i="29"/>
  <c r="T76" i="29"/>
  <c r="S76" i="29"/>
  <c r="R76" i="29"/>
  <c r="Q76" i="29"/>
  <c r="P76" i="29"/>
  <c r="N76" i="29"/>
  <c r="M76" i="29"/>
  <c r="J76" i="29"/>
  <c r="AQ75" i="29"/>
  <c r="AK75" i="29"/>
  <c r="AR75" i="29" s="1"/>
  <c r="Y75" i="29"/>
  <c r="AN75" i="29" s="1"/>
  <c r="O75" i="29"/>
  <c r="U75" i="29" s="1"/>
  <c r="AB75" i="29" s="1"/>
  <c r="AP75" i="29" s="1"/>
  <c r="L75" i="29"/>
  <c r="K75" i="29"/>
  <c r="AQ74" i="29"/>
  <c r="AK74" i="29"/>
  <c r="AR74" i="29" s="1"/>
  <c r="Y74" i="29"/>
  <c r="AN74" i="29" s="1"/>
  <c r="O74" i="29"/>
  <c r="U74" i="29" s="1"/>
  <c r="AA74" i="29" s="1"/>
  <c r="AO74" i="29" s="1"/>
  <c r="L74" i="29"/>
  <c r="K74" i="29"/>
  <c r="AQ73" i="29"/>
  <c r="AK73" i="29"/>
  <c r="AR73" i="29" s="1"/>
  <c r="Y73" i="29"/>
  <c r="O73" i="29"/>
  <c r="U73" i="29" s="1"/>
  <c r="AB73" i="29" s="1"/>
  <c r="L73" i="29"/>
  <c r="K73" i="29"/>
  <c r="AQ72" i="29"/>
  <c r="AQ76" i="29" s="1"/>
  <c r="AK72" i="29"/>
  <c r="AR72" i="29" s="1"/>
  <c r="Y72" i="29"/>
  <c r="AN72" i="29" s="1"/>
  <c r="O72" i="29"/>
  <c r="U72" i="29" s="1"/>
  <c r="L72" i="29"/>
  <c r="K72" i="29"/>
  <c r="AJ71" i="29"/>
  <c r="AI71" i="29"/>
  <c r="AH71" i="29"/>
  <c r="AG71" i="29"/>
  <c r="AF71" i="29"/>
  <c r="AE71" i="29"/>
  <c r="AC71" i="29"/>
  <c r="X71" i="29"/>
  <c r="W71" i="29"/>
  <c r="V71" i="29"/>
  <c r="T71" i="29"/>
  <c r="S71" i="29"/>
  <c r="R71" i="29"/>
  <c r="Q71" i="29"/>
  <c r="P71" i="29"/>
  <c r="N71" i="29"/>
  <c r="M71" i="29"/>
  <c r="J71" i="29"/>
  <c r="AQ70" i="29"/>
  <c r="AK70" i="29"/>
  <c r="Y70" i="29"/>
  <c r="O70" i="29"/>
  <c r="U70" i="29" s="1"/>
  <c r="L70" i="29"/>
  <c r="K70" i="29"/>
  <c r="AQ69" i="29"/>
  <c r="AK69" i="29"/>
  <c r="AR69" i="29" s="1"/>
  <c r="Y69" i="29"/>
  <c r="AN69" i="29" s="1"/>
  <c r="O69" i="29"/>
  <c r="U69" i="29" s="1"/>
  <c r="L69" i="29"/>
  <c r="K69" i="29"/>
  <c r="AQ68" i="29"/>
  <c r="AK68" i="29"/>
  <c r="AR68" i="29" s="1"/>
  <c r="Y68" i="29"/>
  <c r="U68" i="29"/>
  <c r="O68" i="29"/>
  <c r="L68" i="29"/>
  <c r="AQ67" i="29"/>
  <c r="AK67" i="29"/>
  <c r="Y67" i="29"/>
  <c r="AN67" i="29" s="1"/>
  <c r="O67" i="29"/>
  <c r="L67" i="29"/>
  <c r="K67" i="29"/>
  <c r="AJ66" i="29"/>
  <c r="AI66" i="29"/>
  <c r="AH66" i="29"/>
  <c r="AG66" i="29"/>
  <c r="AF66" i="29"/>
  <c r="AE66" i="29"/>
  <c r="AC66" i="29"/>
  <c r="X66" i="29"/>
  <c r="W66" i="29"/>
  <c r="V66" i="29"/>
  <c r="T66" i="29"/>
  <c r="S66" i="29"/>
  <c r="R66" i="29"/>
  <c r="Q66" i="29"/>
  <c r="P66" i="29"/>
  <c r="N66" i="29"/>
  <c r="M66" i="29"/>
  <c r="J66" i="29"/>
  <c r="AQ65" i="29"/>
  <c r="AQ66" i="29" s="1"/>
  <c r="AN65" i="29"/>
  <c r="AN66" i="29" s="1"/>
  <c r="AK65" i="29"/>
  <c r="Y65" i="29"/>
  <c r="Y66" i="29" s="1"/>
  <c r="O65" i="29"/>
  <c r="O66" i="29" s="1"/>
  <c r="L65" i="29"/>
  <c r="K65" i="29"/>
  <c r="K66" i="29" s="1"/>
  <c r="AJ64" i="29"/>
  <c r="AI64" i="29"/>
  <c r="AH64" i="29"/>
  <c r="AG64" i="29"/>
  <c r="AF64" i="29"/>
  <c r="AE64" i="29"/>
  <c r="AC64" i="29"/>
  <c r="X64" i="29"/>
  <c r="W64" i="29"/>
  <c r="V64" i="29"/>
  <c r="T64" i="29"/>
  <c r="S64" i="29"/>
  <c r="R64" i="29"/>
  <c r="Q64" i="29"/>
  <c r="P64" i="29"/>
  <c r="N64" i="29"/>
  <c r="M64" i="29"/>
  <c r="J64" i="29"/>
  <c r="AQ63" i="29"/>
  <c r="AK63" i="29"/>
  <c r="AR63" i="29" s="1"/>
  <c r="Y63" i="29"/>
  <c r="AN63" i="29" s="1"/>
  <c r="O63" i="29"/>
  <c r="U63" i="29" s="1"/>
  <c r="AM63" i="29" s="1"/>
  <c r="L63" i="29"/>
  <c r="K63" i="29"/>
  <c r="AQ62" i="29"/>
  <c r="AK62" i="29"/>
  <c r="AR62" i="29" s="1"/>
  <c r="Y62" i="29"/>
  <c r="AN62" i="29" s="1"/>
  <c r="O62" i="29"/>
  <c r="U62" i="29" s="1"/>
  <c r="L62" i="29"/>
  <c r="K62" i="29"/>
  <c r="I62" i="29"/>
  <c r="AQ61" i="29"/>
  <c r="AK61" i="29"/>
  <c r="Y61" i="29"/>
  <c r="AN61" i="29" s="1"/>
  <c r="AN64" i="29" s="1"/>
  <c r="O61" i="29"/>
  <c r="L61" i="29"/>
  <c r="K61" i="29"/>
  <c r="AJ60" i="29"/>
  <c r="AI60" i="29"/>
  <c r="AH60" i="29"/>
  <c r="AG60" i="29"/>
  <c r="AF60" i="29"/>
  <c r="AE60" i="29"/>
  <c r="AC60" i="29"/>
  <c r="X60" i="29"/>
  <c r="W60" i="29"/>
  <c r="V60" i="29"/>
  <c r="T60" i="29"/>
  <c r="S60" i="29"/>
  <c r="R60" i="29"/>
  <c r="Q60" i="29"/>
  <c r="P60" i="29"/>
  <c r="N60" i="29"/>
  <c r="M60" i="29"/>
  <c r="J60" i="29"/>
  <c r="AQ59" i="29"/>
  <c r="AN59" i="29"/>
  <c r="AK59" i="29"/>
  <c r="AR59" i="29" s="1"/>
  <c r="Y59" i="29"/>
  <c r="O59" i="29"/>
  <c r="U59" i="29" s="1"/>
  <c r="L59" i="29"/>
  <c r="K59" i="29"/>
  <c r="AQ58" i="29"/>
  <c r="AN58" i="29"/>
  <c r="AN60" i="29" s="1"/>
  <c r="AK58" i="29"/>
  <c r="Y58" i="29"/>
  <c r="Y60" i="29" s="1"/>
  <c r="O58" i="29"/>
  <c r="O60" i="29" s="1"/>
  <c r="L58" i="29"/>
  <c r="K58" i="29"/>
  <c r="AJ57" i="29"/>
  <c r="AI57" i="29"/>
  <c r="AH57" i="29"/>
  <c r="AG57" i="29"/>
  <c r="AF57" i="29"/>
  <c r="AE57" i="29"/>
  <c r="AC57" i="29"/>
  <c r="X57" i="29"/>
  <c r="W57" i="29"/>
  <c r="V57" i="29"/>
  <c r="T57" i="29"/>
  <c r="S57" i="29"/>
  <c r="R57" i="29"/>
  <c r="Q57" i="29"/>
  <c r="P57" i="29"/>
  <c r="N57" i="29"/>
  <c r="M57" i="29"/>
  <c r="J57" i="29"/>
  <c r="AQ56" i="29"/>
  <c r="AK56" i="29"/>
  <c r="AR56" i="29" s="1"/>
  <c r="Y56" i="29"/>
  <c r="AN56" i="29" s="1"/>
  <c r="O56" i="29"/>
  <c r="U56" i="29" s="1"/>
  <c r="L56" i="29"/>
  <c r="K56" i="29"/>
  <c r="AQ55" i="29"/>
  <c r="AK55" i="29"/>
  <c r="AR55" i="29" s="1"/>
  <c r="Y55" i="29"/>
  <c r="Y57" i="29" s="1"/>
  <c r="O55" i="29"/>
  <c r="L55" i="29"/>
  <c r="K55" i="29"/>
  <c r="I55" i="29" s="1"/>
  <c r="AK54" i="29"/>
  <c r="AJ54" i="29"/>
  <c r="AI54" i="29"/>
  <c r="AH54" i="29"/>
  <c r="AG54" i="29"/>
  <c r="AF54" i="29"/>
  <c r="AE54" i="29"/>
  <c r="AC54" i="29"/>
  <c r="X54" i="29"/>
  <c r="W54" i="29"/>
  <c r="V54" i="29"/>
  <c r="T54" i="29"/>
  <c r="S54" i="29"/>
  <c r="R54" i="29"/>
  <c r="Q54" i="29"/>
  <c r="P54" i="29"/>
  <c r="N54" i="29"/>
  <c r="M54" i="29"/>
  <c r="J54" i="29"/>
  <c r="AQ53" i="29"/>
  <c r="AK53" i="29"/>
  <c r="AR53" i="29" s="1"/>
  <c r="Y53" i="29"/>
  <c r="AN53" i="29" s="1"/>
  <c r="O53" i="29"/>
  <c r="L53" i="29"/>
  <c r="K53" i="29"/>
  <c r="AQ52" i="29"/>
  <c r="AK52" i="29"/>
  <c r="AR52" i="29" s="1"/>
  <c r="AR54" i="29" s="1"/>
  <c r="Y52" i="29"/>
  <c r="O52" i="29"/>
  <c r="U52" i="29" s="1"/>
  <c r="L52" i="29"/>
  <c r="K52" i="29"/>
  <c r="AJ51" i="29"/>
  <c r="AI51" i="29"/>
  <c r="AH51" i="29"/>
  <c r="AG51" i="29"/>
  <c r="AF51" i="29"/>
  <c r="AE51" i="29"/>
  <c r="AC51" i="29"/>
  <c r="X51" i="29"/>
  <c r="W51" i="29"/>
  <c r="V51" i="29"/>
  <c r="T51" i="29"/>
  <c r="S51" i="29"/>
  <c r="R51" i="29"/>
  <c r="Q51" i="29"/>
  <c r="P51" i="29"/>
  <c r="N51" i="29"/>
  <c r="M51" i="29"/>
  <c r="J51" i="29"/>
  <c r="AQ50" i="29"/>
  <c r="AK50" i="29"/>
  <c r="AR50" i="29" s="1"/>
  <c r="Y50" i="29"/>
  <c r="AN50" i="29" s="1"/>
  <c r="O50" i="29"/>
  <c r="U50" i="29" s="1"/>
  <c r="AM50" i="29" s="1"/>
  <c r="L50" i="29"/>
  <c r="I50" i="29" s="1"/>
  <c r="K50" i="29"/>
  <c r="K51" i="29" s="1"/>
  <c r="AQ49" i="29"/>
  <c r="AK49" i="29"/>
  <c r="AK51" i="29" s="1"/>
  <c r="Y49" i="29"/>
  <c r="AN49" i="29" s="1"/>
  <c r="O49" i="29"/>
  <c r="U49" i="29" s="1"/>
  <c r="AB49" i="29" s="1"/>
  <c r="L49" i="29"/>
  <c r="I49" i="29" s="1"/>
  <c r="K49" i="29"/>
  <c r="AJ48" i="29"/>
  <c r="AI48" i="29"/>
  <c r="AH48" i="29"/>
  <c r="AG48" i="29"/>
  <c r="AF48" i="29"/>
  <c r="AE48" i="29"/>
  <c r="AC48" i="29"/>
  <c r="X48" i="29"/>
  <c r="W48" i="29"/>
  <c r="V48" i="29"/>
  <c r="T48" i="29"/>
  <c r="S48" i="29"/>
  <c r="R48" i="29"/>
  <c r="Q48" i="29"/>
  <c r="P48" i="29"/>
  <c r="N48" i="29"/>
  <c r="M48" i="29"/>
  <c r="J48" i="29"/>
  <c r="AQ47" i="29"/>
  <c r="AK47" i="29"/>
  <c r="Y47" i="29"/>
  <c r="AN47" i="29" s="1"/>
  <c r="O47" i="29"/>
  <c r="U47" i="29" s="1"/>
  <c r="L47" i="29"/>
  <c r="K47" i="29"/>
  <c r="K48" i="29" s="1"/>
  <c r="AQ46" i="29"/>
  <c r="AK46" i="29"/>
  <c r="AR46" i="29" s="1"/>
  <c r="Y46" i="29"/>
  <c r="AN46" i="29" s="1"/>
  <c r="AN48" i="29" s="1"/>
  <c r="O46" i="29"/>
  <c r="L46" i="29"/>
  <c r="K46" i="29"/>
  <c r="I46" i="29" s="1"/>
  <c r="AK45" i="29"/>
  <c r="AJ45" i="29"/>
  <c r="AI45" i="29"/>
  <c r="AH45" i="29"/>
  <c r="AG45" i="29"/>
  <c r="AF45" i="29"/>
  <c r="AE45" i="29"/>
  <c r="AC45" i="29"/>
  <c r="X45" i="29"/>
  <c r="W45" i="29"/>
  <c r="V45" i="29"/>
  <c r="T45" i="29"/>
  <c r="S45" i="29"/>
  <c r="R45" i="29"/>
  <c r="Q45" i="29"/>
  <c r="P45" i="29"/>
  <c r="N45" i="29"/>
  <c r="M45" i="29"/>
  <c r="J45" i="29"/>
  <c r="AQ44" i="29"/>
  <c r="AK44" i="29"/>
  <c r="AR44" i="29" s="1"/>
  <c r="Y44" i="29"/>
  <c r="AN44" i="29" s="1"/>
  <c r="O44" i="29"/>
  <c r="U44" i="29" s="1"/>
  <c r="AB44" i="29" s="1"/>
  <c r="L44" i="29"/>
  <c r="K44" i="29"/>
  <c r="AQ43" i="29"/>
  <c r="AK43" i="29"/>
  <c r="AR43" i="29" s="1"/>
  <c r="Y43" i="29"/>
  <c r="AN43" i="29" s="1"/>
  <c r="O43" i="29"/>
  <c r="L43" i="29"/>
  <c r="K43" i="29"/>
  <c r="AJ42" i="29"/>
  <c r="AI42" i="29"/>
  <c r="AH42" i="29"/>
  <c r="AG42" i="29"/>
  <c r="AF42" i="29"/>
  <c r="AE42" i="29"/>
  <c r="AC42" i="29"/>
  <c r="X42" i="29"/>
  <c r="W42" i="29"/>
  <c r="V42" i="29"/>
  <c r="T42" i="29"/>
  <c r="S42" i="29"/>
  <c r="R42" i="29"/>
  <c r="Q42" i="29"/>
  <c r="P42" i="29"/>
  <c r="N42" i="29"/>
  <c r="M42" i="29"/>
  <c r="J42" i="29"/>
  <c r="AQ41" i="29"/>
  <c r="AK41" i="29"/>
  <c r="AR41" i="29" s="1"/>
  <c r="Y41" i="29"/>
  <c r="AN41" i="29" s="1"/>
  <c r="O41" i="29"/>
  <c r="U41" i="29" s="1"/>
  <c r="AB41" i="29" s="1"/>
  <c r="L41" i="29"/>
  <c r="K41" i="29"/>
  <c r="AQ40" i="29"/>
  <c r="AQ42" i="29" s="1"/>
  <c r="AK40" i="29"/>
  <c r="Y40" i="29"/>
  <c r="AN40" i="29" s="1"/>
  <c r="U40" i="29"/>
  <c r="AB40" i="29" s="1"/>
  <c r="O40" i="29"/>
  <c r="L40" i="29"/>
  <c r="L42" i="29" s="1"/>
  <c r="K40" i="29"/>
  <c r="K42" i="29" s="1"/>
  <c r="AJ39" i="29"/>
  <c r="AI39" i="29"/>
  <c r="AH39" i="29"/>
  <c r="AG39" i="29"/>
  <c r="AF39" i="29"/>
  <c r="AE39" i="29"/>
  <c r="AC39" i="29"/>
  <c r="X39" i="29"/>
  <c r="W39" i="29"/>
  <c r="V39" i="29"/>
  <c r="T39" i="29"/>
  <c r="S39" i="29"/>
  <c r="R39" i="29"/>
  <c r="Q39" i="29"/>
  <c r="P39" i="29"/>
  <c r="N39" i="29"/>
  <c r="M39" i="29"/>
  <c r="J39" i="29"/>
  <c r="AQ38" i="29"/>
  <c r="AK38" i="29"/>
  <c r="Y38" i="29"/>
  <c r="AN38" i="29" s="1"/>
  <c r="O38" i="29"/>
  <c r="U38" i="29" s="1"/>
  <c r="AM38" i="29" s="1"/>
  <c r="L38" i="29"/>
  <c r="K38" i="29"/>
  <c r="AQ37" i="29"/>
  <c r="AK37" i="29"/>
  <c r="AR37" i="29" s="1"/>
  <c r="Y37" i="29"/>
  <c r="AN37" i="29" s="1"/>
  <c r="O37" i="29"/>
  <c r="L37" i="29"/>
  <c r="K37" i="29"/>
  <c r="K39" i="29" s="1"/>
  <c r="AJ36" i="29"/>
  <c r="AI36" i="29"/>
  <c r="AH36" i="29"/>
  <c r="AG36" i="29"/>
  <c r="AF36" i="29"/>
  <c r="AE36" i="29"/>
  <c r="AC36" i="29"/>
  <c r="X36" i="29"/>
  <c r="W36" i="29"/>
  <c r="V36" i="29"/>
  <c r="T36" i="29"/>
  <c r="S36" i="29"/>
  <c r="R36" i="29"/>
  <c r="Q36" i="29"/>
  <c r="P36" i="29"/>
  <c r="N36" i="29"/>
  <c r="M36" i="29"/>
  <c r="J36" i="29"/>
  <c r="AQ35" i="29"/>
  <c r="AM35" i="29"/>
  <c r="AK35" i="29"/>
  <c r="AR35" i="29" s="1"/>
  <c r="Y35" i="29"/>
  <c r="AN35" i="29" s="1"/>
  <c r="O35" i="29"/>
  <c r="U35" i="29" s="1"/>
  <c r="L35" i="29"/>
  <c r="K35" i="29"/>
  <c r="I35" i="29" s="1"/>
  <c r="AR34" i="29"/>
  <c r="AQ34" i="29"/>
  <c r="AK34" i="29"/>
  <c r="AK36" i="29" s="1"/>
  <c r="Y34" i="29"/>
  <c r="O34" i="29"/>
  <c r="O36" i="29" s="1"/>
  <c r="L34" i="29"/>
  <c r="L36" i="29" s="1"/>
  <c r="K34" i="29"/>
  <c r="K36" i="29" s="1"/>
  <c r="AJ33" i="29"/>
  <c r="AI33" i="29"/>
  <c r="AH33" i="29"/>
  <c r="AG33" i="29"/>
  <c r="AF33" i="29"/>
  <c r="AE33" i="29"/>
  <c r="AC33" i="29"/>
  <c r="X33" i="29"/>
  <c r="W33" i="29"/>
  <c r="V33" i="29"/>
  <c r="T33" i="29"/>
  <c r="S33" i="29"/>
  <c r="R33" i="29"/>
  <c r="Q33" i="29"/>
  <c r="P33" i="29"/>
  <c r="N33" i="29"/>
  <c r="M33" i="29"/>
  <c r="J33" i="29"/>
  <c r="AQ32" i="29"/>
  <c r="AK32" i="29"/>
  <c r="AR32" i="29" s="1"/>
  <c r="Y32" i="29"/>
  <c r="AN32" i="29" s="1"/>
  <c r="O32" i="29"/>
  <c r="U32" i="29" s="1"/>
  <c r="AM32" i="29" s="1"/>
  <c r="L32" i="29"/>
  <c r="K32" i="29"/>
  <c r="AQ31" i="29"/>
  <c r="AQ33" i="29" s="1"/>
  <c r="AK31" i="29"/>
  <c r="AK33" i="29" s="1"/>
  <c r="Y31" i="29"/>
  <c r="O31" i="29"/>
  <c r="U31" i="29" s="1"/>
  <c r="L31" i="29"/>
  <c r="K31" i="29"/>
  <c r="AJ30" i="29"/>
  <c r="AI30" i="29"/>
  <c r="AH30" i="29"/>
  <c r="AG30" i="29"/>
  <c r="AF30" i="29"/>
  <c r="AE30" i="29"/>
  <c r="AC30" i="29"/>
  <c r="X30" i="29"/>
  <c r="W30" i="29"/>
  <c r="V30" i="29"/>
  <c r="T30" i="29"/>
  <c r="S30" i="29"/>
  <c r="R30" i="29"/>
  <c r="Q30" i="29"/>
  <c r="P30" i="29"/>
  <c r="N30" i="29"/>
  <c r="M30" i="29"/>
  <c r="J30" i="29"/>
  <c r="AR29" i="29"/>
  <c r="AQ29" i="29"/>
  <c r="AK29" i="29"/>
  <c r="Y29" i="29"/>
  <c r="AN29" i="29" s="1"/>
  <c r="O29" i="29"/>
  <c r="U29" i="29" s="1"/>
  <c r="AM29" i="29" s="1"/>
  <c r="L29" i="29"/>
  <c r="K29" i="29"/>
  <c r="I29" i="29" s="1"/>
  <c r="AR28" i="29"/>
  <c r="AR30" i="29" s="1"/>
  <c r="AQ28" i="29"/>
  <c r="AQ30" i="29" s="1"/>
  <c r="AK28" i="29"/>
  <c r="AK30" i="29" s="1"/>
  <c r="Y28" i="29"/>
  <c r="O28" i="29"/>
  <c r="U28" i="29" s="1"/>
  <c r="AM28" i="29" s="1"/>
  <c r="L28" i="29"/>
  <c r="K28" i="29"/>
  <c r="I28" i="29" s="1"/>
  <c r="AJ27" i="29"/>
  <c r="AI27" i="29"/>
  <c r="AH27" i="29"/>
  <c r="AG27" i="29"/>
  <c r="AF27" i="29"/>
  <c r="AE27" i="29"/>
  <c r="AC27" i="29"/>
  <c r="X27" i="29"/>
  <c r="W27" i="29"/>
  <c r="V27" i="29"/>
  <c r="T27" i="29"/>
  <c r="S27" i="29"/>
  <c r="R27" i="29"/>
  <c r="Q27" i="29"/>
  <c r="P27" i="29"/>
  <c r="N27" i="29"/>
  <c r="M27" i="29"/>
  <c r="J27" i="29"/>
  <c r="AR26" i="29"/>
  <c r="AR27" i="29" s="1"/>
  <c r="AQ26" i="29"/>
  <c r="AQ27" i="29" s="1"/>
  <c r="AK26" i="29"/>
  <c r="AK27" i="29" s="1"/>
  <c r="Y26" i="29"/>
  <c r="O26" i="29"/>
  <c r="U26" i="29" s="1"/>
  <c r="U27" i="29" s="1"/>
  <c r="L26" i="29"/>
  <c r="L27" i="29" s="1"/>
  <c r="K26" i="29"/>
  <c r="I26" i="29" s="1"/>
  <c r="I27" i="29" s="1"/>
  <c r="AJ25" i="29"/>
  <c r="AI25" i="29"/>
  <c r="AH25" i="29"/>
  <c r="AG25" i="29"/>
  <c r="AF25" i="29"/>
  <c r="AE25" i="29"/>
  <c r="AC25" i="29"/>
  <c r="X25" i="29"/>
  <c r="W25" i="29"/>
  <c r="V25" i="29"/>
  <c r="T25" i="29"/>
  <c r="S25" i="29"/>
  <c r="R25" i="29"/>
  <c r="Q25" i="29"/>
  <c r="P25" i="29"/>
  <c r="N25" i="29"/>
  <c r="M25" i="29"/>
  <c r="J25" i="29"/>
  <c r="AQ24" i="29"/>
  <c r="AK24" i="29"/>
  <c r="AR24" i="29" s="1"/>
  <c r="Y24" i="29"/>
  <c r="AN24" i="29" s="1"/>
  <c r="O24" i="29"/>
  <c r="U24" i="29" s="1"/>
  <c r="L24" i="29"/>
  <c r="K24" i="29"/>
  <c r="I24" i="29" s="1"/>
  <c r="AQ23" i="29"/>
  <c r="AK23" i="29"/>
  <c r="Y23" i="29"/>
  <c r="O23" i="29"/>
  <c r="O25" i="29" s="1"/>
  <c r="L23" i="29"/>
  <c r="L25" i="29" s="1"/>
  <c r="K23" i="29"/>
  <c r="K25" i="29" s="1"/>
  <c r="AJ22" i="29"/>
  <c r="AI22" i="29"/>
  <c r="AH22" i="29"/>
  <c r="AG22" i="29"/>
  <c r="AF22" i="29"/>
  <c r="AE22" i="29"/>
  <c r="AC22" i="29"/>
  <c r="X22" i="29"/>
  <c r="W22" i="29"/>
  <c r="V22" i="29"/>
  <c r="T22" i="29"/>
  <c r="S22" i="29"/>
  <c r="R22" i="29"/>
  <c r="Q22" i="29"/>
  <c r="P22" i="29"/>
  <c r="N22" i="29"/>
  <c r="M22" i="29"/>
  <c r="J22" i="29"/>
  <c r="AQ21" i="29"/>
  <c r="AK21" i="29"/>
  <c r="AR21" i="29" s="1"/>
  <c r="Y21" i="29"/>
  <c r="AN21" i="29" s="1"/>
  <c r="O21" i="29"/>
  <c r="U21" i="29" s="1"/>
  <c r="L21" i="29"/>
  <c r="I21" i="29" s="1"/>
  <c r="K21" i="29"/>
  <c r="AQ20" i="29"/>
  <c r="AK20" i="29"/>
  <c r="Y20" i="29"/>
  <c r="AN20" i="29" s="1"/>
  <c r="O20" i="29"/>
  <c r="L20" i="29"/>
  <c r="L22" i="29" s="1"/>
  <c r="K20" i="29"/>
  <c r="AJ19" i="29"/>
  <c r="AI19" i="29"/>
  <c r="AH19" i="29"/>
  <c r="AG19" i="29"/>
  <c r="AF19" i="29"/>
  <c r="AE19" i="29"/>
  <c r="AC19" i="29"/>
  <c r="X19" i="29"/>
  <c r="W19" i="29"/>
  <c r="V19" i="29"/>
  <c r="T19" i="29"/>
  <c r="S19" i="29"/>
  <c r="R19" i="29"/>
  <c r="Q19" i="29"/>
  <c r="P19" i="29"/>
  <c r="N19" i="29"/>
  <c r="M19" i="29"/>
  <c r="J19" i="29"/>
  <c r="AQ18" i="29"/>
  <c r="AK18" i="29"/>
  <c r="AR18" i="29" s="1"/>
  <c r="Y18" i="29"/>
  <c r="AN18" i="29" s="1"/>
  <c r="O18" i="29"/>
  <c r="O19" i="29" s="1"/>
  <c r="L18" i="29"/>
  <c r="K18" i="29"/>
  <c r="AQ17" i="29"/>
  <c r="AK17" i="29"/>
  <c r="AR17" i="29" s="1"/>
  <c r="Y17" i="29"/>
  <c r="AN17" i="29" s="1"/>
  <c r="O17" i="29"/>
  <c r="U17" i="29" s="1"/>
  <c r="L17" i="29"/>
  <c r="K17" i="29"/>
  <c r="AJ16" i="29"/>
  <c r="AI16" i="29"/>
  <c r="AH16" i="29"/>
  <c r="AG16" i="29"/>
  <c r="AF16" i="29"/>
  <c r="AE16" i="29"/>
  <c r="AC16" i="29"/>
  <c r="Y16" i="29"/>
  <c r="X16" i="29"/>
  <c r="W16" i="29"/>
  <c r="V16" i="29"/>
  <c r="T16" i="29"/>
  <c r="S16" i="29"/>
  <c r="R16" i="29"/>
  <c r="Q16" i="29"/>
  <c r="P16" i="29"/>
  <c r="N16" i="29"/>
  <c r="M16" i="29"/>
  <c r="J16" i="29"/>
  <c r="AQ15" i="29"/>
  <c r="AK15" i="29"/>
  <c r="Y15" i="29"/>
  <c r="AN15" i="29" s="1"/>
  <c r="O15" i="29"/>
  <c r="L15" i="29"/>
  <c r="K15" i="29"/>
  <c r="AQ14" i="29"/>
  <c r="AK14" i="29"/>
  <c r="Y14" i="29"/>
  <c r="O14" i="29"/>
  <c r="U14" i="29" s="1"/>
  <c r="L14" i="29"/>
  <c r="K14" i="29"/>
  <c r="AJ13" i="29"/>
  <c r="AI13" i="29"/>
  <c r="AH13" i="29"/>
  <c r="AG13" i="29"/>
  <c r="AF13" i="29"/>
  <c r="AE13" i="29"/>
  <c r="AC13" i="29"/>
  <c r="X13" i="29"/>
  <c r="W13" i="29"/>
  <c r="V13" i="29"/>
  <c r="T13" i="29"/>
  <c r="S13" i="29"/>
  <c r="R13" i="29"/>
  <c r="Q13" i="29"/>
  <c r="P13" i="29"/>
  <c r="N13" i="29"/>
  <c r="M13" i="29"/>
  <c r="J13" i="29"/>
  <c r="AQ12" i="29"/>
  <c r="AQ165" i="29" s="1"/>
  <c r="AK12" i="29"/>
  <c r="AK165" i="29" s="1"/>
  <c r="Y12" i="29"/>
  <c r="Y13" i="29" s="1"/>
  <c r="O12" i="29"/>
  <c r="O165" i="29" s="1"/>
  <c r="L12" i="29"/>
  <c r="L165" i="29" s="1"/>
  <c r="K12" i="29"/>
  <c r="K165" i="29" s="1"/>
  <c r="AB56" i="29" l="1"/>
  <c r="AM56" i="29"/>
  <c r="AM52" i="29"/>
  <c r="AB52" i="29"/>
  <c r="K54" i="29"/>
  <c r="I20" i="29"/>
  <c r="I22" i="29" s="1"/>
  <c r="Z21" i="29"/>
  <c r="K27" i="29"/>
  <c r="I32" i="29"/>
  <c r="AQ36" i="29"/>
  <c r="I37" i="29"/>
  <c r="I44" i="29"/>
  <c r="AA78" i="29"/>
  <c r="AO78" i="29" s="1"/>
  <c r="AA90" i="29"/>
  <c r="I113" i="29"/>
  <c r="AR126" i="29"/>
  <c r="AA128" i="29"/>
  <c r="I150" i="29"/>
  <c r="AR36" i="29"/>
  <c r="L30" i="29"/>
  <c r="I31" i="29"/>
  <c r="O33" i="29"/>
  <c r="I34" i="29"/>
  <c r="I36" i="29" s="1"/>
  <c r="I43" i="29"/>
  <c r="AA85" i="29"/>
  <c r="AO85" i="29" s="1"/>
  <c r="Z90" i="29"/>
  <c r="I95" i="29"/>
  <c r="AK101" i="29"/>
  <c r="Y110" i="29"/>
  <c r="Y130" i="29"/>
  <c r="O141" i="29"/>
  <c r="Y151" i="29"/>
  <c r="X155" i="29"/>
  <c r="K156" i="29"/>
  <c r="AK25" i="29"/>
  <c r="L45" i="29"/>
  <c r="AK71" i="29"/>
  <c r="Y76" i="29"/>
  <c r="AK96" i="29"/>
  <c r="AM119" i="29"/>
  <c r="AR130" i="29"/>
  <c r="AN141" i="29"/>
  <c r="L86" i="29"/>
  <c r="AQ96" i="29"/>
  <c r="AK118" i="29"/>
  <c r="AQ123" i="29"/>
  <c r="L123" i="29"/>
  <c r="I126" i="29"/>
  <c r="K19" i="29"/>
  <c r="N152" i="29"/>
  <c r="G15" i="47" s="1"/>
  <c r="L33" i="29"/>
  <c r="AK22" i="29"/>
  <c r="AN39" i="29"/>
  <c r="O45" i="29"/>
  <c r="AQ22" i="29"/>
  <c r="K22" i="29"/>
  <c r="AN51" i="29"/>
  <c r="Z52" i="29"/>
  <c r="L60" i="29"/>
  <c r="U65" i="29"/>
  <c r="AQ91" i="29"/>
  <c r="O101" i="29"/>
  <c r="I102" i="29"/>
  <c r="I105" i="29" s="1"/>
  <c r="AK105" i="29"/>
  <c r="AQ110" i="29"/>
  <c r="L112" i="29"/>
  <c r="I119" i="29"/>
  <c r="I120" i="29"/>
  <c r="AQ145" i="29"/>
  <c r="AC155" i="29"/>
  <c r="AQ48" i="29"/>
  <c r="AQ118" i="29"/>
  <c r="L130" i="29"/>
  <c r="AE155" i="29"/>
  <c r="K33" i="29"/>
  <c r="I40" i="29"/>
  <c r="AQ112" i="29"/>
  <c r="I137" i="29"/>
  <c r="L151" i="29"/>
  <c r="AM114" i="29"/>
  <c r="Z114" i="29"/>
  <c r="AN126" i="29"/>
  <c r="AA130" i="29"/>
  <c r="I30" i="29"/>
  <c r="I33" i="29"/>
  <c r="AB113" i="29"/>
  <c r="AP113" i="29" s="1"/>
  <c r="Z113" i="29"/>
  <c r="AA113" i="29"/>
  <c r="AM59" i="29"/>
  <c r="AB59" i="29"/>
  <c r="AB124" i="29"/>
  <c r="AP124" i="29" s="1"/>
  <c r="AP126" i="29" s="1"/>
  <c r="AM124" i="29"/>
  <c r="Z124" i="29"/>
  <c r="AA17" i="29"/>
  <c r="AO17" i="29" s="1"/>
  <c r="AB17" i="29"/>
  <c r="AP17" i="29" s="1"/>
  <c r="Z17" i="29"/>
  <c r="AB14" i="29"/>
  <c r="AP14" i="29" s="1"/>
  <c r="Z14" i="29"/>
  <c r="AB121" i="29"/>
  <c r="AP121" i="29" s="1"/>
  <c r="AM121" i="29"/>
  <c r="Y112" i="29"/>
  <c r="Q152" i="29"/>
  <c r="J15" i="47" s="1"/>
  <c r="AQ25" i="29"/>
  <c r="AP44" i="29"/>
  <c r="Z50" i="29"/>
  <c r="Y54" i="29"/>
  <c r="AP73" i="29"/>
  <c r="I90" i="29"/>
  <c r="AA92" i="29"/>
  <c r="AO92" i="29" s="1"/>
  <c r="AQ105" i="29"/>
  <c r="AN104" i="29"/>
  <c r="I109" i="29"/>
  <c r="AN119" i="29"/>
  <c r="AN123" i="29" s="1"/>
  <c r="AM120" i="29"/>
  <c r="O126" i="29"/>
  <c r="U131" i="29"/>
  <c r="AB131" i="29" s="1"/>
  <c r="AB133" i="29" s="1"/>
  <c r="K159" i="29"/>
  <c r="O145" i="29"/>
  <c r="AQ151" i="29"/>
  <c r="M155" i="29"/>
  <c r="W155" i="29"/>
  <c r="Y154" i="29" s="1"/>
  <c r="N155" i="29"/>
  <c r="K16" i="29"/>
  <c r="K45" i="29"/>
  <c r="AR86" i="29"/>
  <c r="AK42" i="29"/>
  <c r="AN55" i="29"/>
  <c r="AN57" i="29" s="1"/>
  <c r="Y118" i="29"/>
  <c r="U123" i="29"/>
  <c r="O16" i="29"/>
  <c r="AG152" i="29"/>
  <c r="Z15" i="47" s="1"/>
  <c r="Z26" i="29"/>
  <c r="AQ163" i="29"/>
  <c r="AP108" i="29"/>
  <c r="AP122" i="29"/>
  <c r="AP123" i="29" s="1"/>
  <c r="Z125" i="29"/>
  <c r="Z126" i="29" s="1"/>
  <c r="S152" i="29"/>
  <c r="L15" i="47" s="1"/>
  <c r="Z28" i="29"/>
  <c r="AA63" i="29"/>
  <c r="AO63" i="29" s="1"/>
  <c r="AR97" i="29"/>
  <c r="O159" i="29"/>
  <c r="AH152" i="29"/>
  <c r="AA15" i="47" s="1"/>
  <c r="AK16" i="29"/>
  <c r="Y22" i="29"/>
  <c r="I23" i="29"/>
  <c r="I25" i="29" s="1"/>
  <c r="AR31" i="29"/>
  <c r="AR33" i="29" s="1"/>
  <c r="I41" i="29"/>
  <c r="AQ45" i="29"/>
  <c r="Y48" i="29"/>
  <c r="AP52" i="29"/>
  <c r="AN52" i="29"/>
  <c r="AN54" i="29" s="1"/>
  <c r="K57" i="29"/>
  <c r="AP56" i="29"/>
  <c r="U58" i="29"/>
  <c r="U60" i="29" s="1"/>
  <c r="AR76" i="29"/>
  <c r="AK81" i="29"/>
  <c r="AK86" i="29"/>
  <c r="Z83" i="29"/>
  <c r="AB87" i="29"/>
  <c r="AP87" i="29" s="1"/>
  <c r="AA93" i="29"/>
  <c r="AO93" i="29" s="1"/>
  <c r="K101" i="29"/>
  <c r="AQ101" i="29"/>
  <c r="AM122" i="29"/>
  <c r="AN127" i="29"/>
  <c r="AN130" i="29" s="1"/>
  <c r="O130" i="29"/>
  <c r="AQ141" i="29"/>
  <c r="AN145" i="29"/>
  <c r="Q155" i="29"/>
  <c r="K30" i="29"/>
  <c r="AQ19" i="29"/>
  <c r="AM30" i="29"/>
  <c r="AR45" i="29"/>
  <c r="Y64" i="29"/>
  <c r="T152" i="29"/>
  <c r="M15" i="47" s="1"/>
  <c r="K13" i="29"/>
  <c r="AI152" i="29"/>
  <c r="AB15" i="47" s="1"/>
  <c r="O27" i="29"/>
  <c r="O30" i="29"/>
  <c r="AP41" i="29"/>
  <c r="AR49" i="29"/>
  <c r="AR51" i="29" s="1"/>
  <c r="AQ51" i="29"/>
  <c r="AQ54" i="29"/>
  <c r="AR81" i="29"/>
  <c r="AA83" i="29"/>
  <c r="AO83" i="29" s="1"/>
  <c r="I85" i="29"/>
  <c r="AK91" i="29"/>
  <c r="Z88" i="29"/>
  <c r="I92" i="29"/>
  <c r="AP98" i="29"/>
  <c r="AA108" i="29"/>
  <c r="I121" i="29"/>
  <c r="AQ130" i="29"/>
  <c r="AK130" i="29"/>
  <c r="O138" i="29"/>
  <c r="AA52" i="29"/>
  <c r="AO52" i="29" s="1"/>
  <c r="AN111" i="29"/>
  <c r="I17" i="29"/>
  <c r="O123" i="29"/>
  <c r="AM125" i="29"/>
  <c r="K138" i="29"/>
  <c r="M152" i="29"/>
  <c r="F15" i="47" s="1"/>
  <c r="W152" i="29"/>
  <c r="P15" i="47" s="1"/>
  <c r="AN19" i="29"/>
  <c r="AQ39" i="29"/>
  <c r="AQ86" i="29"/>
  <c r="AB83" i="29"/>
  <c r="AP83" i="29" s="1"/>
  <c r="AM94" i="29"/>
  <c r="AA102" i="29"/>
  <c r="AO102" i="29" s="1"/>
  <c r="I122" i="29"/>
  <c r="AB123" i="29"/>
  <c r="AQ133" i="29"/>
  <c r="I140" i="29"/>
  <c r="K141" i="29"/>
  <c r="AI155" i="29"/>
  <c r="L118" i="29"/>
  <c r="O22" i="29"/>
  <c r="Z31" i="29"/>
  <c r="AK57" i="29"/>
  <c r="AQ60" i="29"/>
  <c r="L76" i="29"/>
  <c r="I77" i="29"/>
  <c r="K86" i="29"/>
  <c r="I83" i="29"/>
  <c r="AR91" i="29"/>
  <c r="AO90" i="29"/>
  <c r="AR92" i="29"/>
  <c r="Z102" i="29"/>
  <c r="AQ159" i="29"/>
  <c r="U139" i="29"/>
  <c r="AB139" i="29" s="1"/>
  <c r="AP139" i="29" s="1"/>
  <c r="T155" i="29"/>
  <c r="AG155" i="29"/>
  <c r="AN146" i="29"/>
  <c r="N61" i="31"/>
  <c r="V155" i="29"/>
  <c r="O154" i="29" s="1"/>
  <c r="AR158" i="32"/>
  <c r="P58" i="31"/>
  <c r="I17" i="47" s="1"/>
  <c r="AR32" i="31"/>
  <c r="U32" i="31"/>
  <c r="Z25" i="31"/>
  <c r="AM25" i="31"/>
  <c r="AK74" i="30"/>
  <c r="AK27" i="30"/>
  <c r="U151" i="29"/>
  <c r="AA149" i="29"/>
  <c r="Z99" i="29"/>
  <c r="U96" i="29"/>
  <c r="P155" i="29"/>
  <c r="AM37" i="32"/>
  <c r="Z37" i="32"/>
  <c r="U36" i="32"/>
  <c r="AA34" i="32"/>
  <c r="AB34" i="32"/>
  <c r="AB36" i="32" s="1"/>
  <c r="I28" i="32"/>
  <c r="AA35" i="32"/>
  <c r="AP51" i="32"/>
  <c r="AK77" i="32"/>
  <c r="I76" i="32"/>
  <c r="Z82" i="32"/>
  <c r="L109" i="32"/>
  <c r="I112" i="32"/>
  <c r="Z128" i="32"/>
  <c r="AR152" i="32"/>
  <c r="I174" i="32"/>
  <c r="I194" i="32"/>
  <c r="AP200" i="32"/>
  <c r="T228" i="32"/>
  <c r="AE228" i="32"/>
  <c r="R228" i="32"/>
  <c r="AA19" i="32"/>
  <c r="I75" i="32"/>
  <c r="AR90" i="32"/>
  <c r="AR92" i="32" s="1"/>
  <c r="Z140" i="32"/>
  <c r="I199" i="32"/>
  <c r="Y222" i="32"/>
  <c r="L27" i="32"/>
  <c r="AR36" i="32"/>
  <c r="I48" i="32"/>
  <c r="AA49" i="32"/>
  <c r="AB51" i="32"/>
  <c r="AB107" i="32"/>
  <c r="Z115" i="32"/>
  <c r="Z116" i="32" s="1"/>
  <c r="Y129" i="32"/>
  <c r="AR142" i="32"/>
  <c r="K154" i="32"/>
  <c r="K189" i="32"/>
  <c r="L197" i="32"/>
  <c r="K202" i="32"/>
  <c r="U202" i="32"/>
  <c r="O20" i="32"/>
  <c r="I32" i="32"/>
  <c r="AB49" i="32"/>
  <c r="AA50" i="32"/>
  <c r="Z55" i="32"/>
  <c r="AN59" i="32"/>
  <c r="I105" i="32"/>
  <c r="AP122" i="32"/>
  <c r="I152" i="32"/>
  <c r="I162" i="32"/>
  <c r="AP170" i="32"/>
  <c r="Z196" i="32"/>
  <c r="U20" i="32"/>
  <c r="I19" i="32"/>
  <c r="I29" i="32"/>
  <c r="I52" i="32"/>
  <c r="L58" i="32"/>
  <c r="I61" i="32"/>
  <c r="AP82" i="32"/>
  <c r="AN125" i="32"/>
  <c r="O237" i="32"/>
  <c r="I93" i="32"/>
  <c r="I120" i="32"/>
  <c r="I138" i="32"/>
  <c r="I140" i="32"/>
  <c r="I142" i="32" s="1"/>
  <c r="AP163" i="32"/>
  <c r="I208" i="32"/>
  <c r="AK197" i="32"/>
  <c r="Z19" i="32"/>
  <c r="Z35" i="32"/>
  <c r="I50" i="32"/>
  <c r="I56" i="32"/>
  <c r="Z57" i="32"/>
  <c r="Z60" i="32"/>
  <c r="K146" i="32"/>
  <c r="Y184" i="32"/>
  <c r="K68" i="32"/>
  <c r="L47" i="32"/>
  <c r="AA152" i="32"/>
  <c r="AO152" i="32" s="1"/>
  <c r="Z152" i="32"/>
  <c r="Z108" i="32"/>
  <c r="AM108" i="32"/>
  <c r="AA108" i="32"/>
  <c r="AO108" i="32" s="1"/>
  <c r="AK16" i="32"/>
  <c r="AR14" i="32"/>
  <c r="AB67" i="32"/>
  <c r="AP67" i="32" s="1"/>
  <c r="AA74" i="32"/>
  <c r="AO74" i="32" s="1"/>
  <c r="I79" i="32"/>
  <c r="AO111" i="32"/>
  <c r="AM113" i="32"/>
  <c r="Z113" i="32"/>
  <c r="AM118" i="32"/>
  <c r="AA118" i="32"/>
  <c r="AA133" i="32"/>
  <c r="AO133" i="32" s="1"/>
  <c r="AM133" i="32"/>
  <c r="AB133" i="32"/>
  <c r="AP133" i="32" s="1"/>
  <c r="AA144" i="32"/>
  <c r="AO144" i="32" s="1"/>
  <c r="AB144" i="32"/>
  <c r="Z144" i="32"/>
  <c r="AA162" i="32"/>
  <c r="AO162" i="32" s="1"/>
  <c r="AM162" i="32"/>
  <c r="U182" i="32"/>
  <c r="O184" i="32"/>
  <c r="AP190" i="32"/>
  <c r="AB153" i="32"/>
  <c r="AP153" i="32" s="1"/>
  <c r="Z153" i="32"/>
  <c r="AN231" i="32"/>
  <c r="AM98" i="32"/>
  <c r="AM100" i="32" s="1"/>
  <c r="AB98" i="32"/>
  <c r="AD98" i="32" s="1"/>
  <c r="Z98" i="32"/>
  <c r="AB132" i="32"/>
  <c r="AP132" i="32" s="1"/>
  <c r="AM132" i="32"/>
  <c r="AA138" i="32"/>
  <c r="AO138" i="32" s="1"/>
  <c r="AB138" i="32"/>
  <c r="AP138" i="32" s="1"/>
  <c r="AN163" i="32"/>
  <c r="Z163" i="32"/>
  <c r="AB177" i="32"/>
  <c r="AP177" i="32" s="1"/>
  <c r="AA177" i="32"/>
  <c r="Z177" i="32"/>
  <c r="I179" i="32"/>
  <c r="AA185" i="32"/>
  <c r="AN185" i="32"/>
  <c r="AR197" i="32"/>
  <c r="AB198" i="32"/>
  <c r="AA198" i="32"/>
  <c r="AO198" i="32" s="1"/>
  <c r="Z81" i="32"/>
  <c r="AB81" i="32"/>
  <c r="AP81" i="32" s="1"/>
  <c r="AR115" i="32"/>
  <c r="AR116" i="32" s="1"/>
  <c r="AK116" i="32"/>
  <c r="AA52" i="32"/>
  <c r="AO52" i="32" s="1"/>
  <c r="AA31" i="32"/>
  <c r="AO31" i="32" s="1"/>
  <c r="Z31" i="32"/>
  <c r="Y77" i="32"/>
  <c r="K97" i="32"/>
  <c r="Z106" i="32"/>
  <c r="AM106" i="32"/>
  <c r="AA106" i="32"/>
  <c r="AO106" i="32" s="1"/>
  <c r="AB201" i="32"/>
  <c r="AM201" i="32"/>
  <c r="AB76" i="32"/>
  <c r="AP76" i="32" s="1"/>
  <c r="AA76" i="32"/>
  <c r="AO76" i="32" s="1"/>
  <c r="AN200" i="32"/>
  <c r="Z200" i="32"/>
  <c r="AA200" i="32"/>
  <c r="L30" i="32"/>
  <c r="AB55" i="32"/>
  <c r="AP55" i="32" s="1"/>
  <c r="AM71" i="32"/>
  <c r="AB71" i="32"/>
  <c r="AP71" i="32" s="1"/>
  <c r="AA83" i="32"/>
  <c r="AK104" i="32"/>
  <c r="AR101" i="32"/>
  <c r="U165" i="32"/>
  <c r="O166" i="32"/>
  <c r="O212" i="32"/>
  <c r="U208" i="32"/>
  <c r="AN215" i="32"/>
  <c r="AA215" i="32"/>
  <c r="AO215" i="32" s="1"/>
  <c r="AK27" i="32"/>
  <c r="AR25" i="32"/>
  <c r="AR27" i="32" s="1"/>
  <c r="AB96" i="32"/>
  <c r="AP96" i="32" s="1"/>
  <c r="AM96" i="32"/>
  <c r="Z96" i="32"/>
  <c r="AA42" i="32"/>
  <c r="AO42" i="32" s="1"/>
  <c r="Z42" i="32"/>
  <c r="AD42" i="32" s="1"/>
  <c r="AL42" i="32" s="1"/>
  <c r="AM69" i="32"/>
  <c r="AB69" i="32"/>
  <c r="AP69" i="32" s="1"/>
  <c r="AB102" i="32"/>
  <c r="AA102" i="32"/>
  <c r="AO102" i="32" s="1"/>
  <c r="AA26" i="32"/>
  <c r="AO26" i="32" s="1"/>
  <c r="O47" i="32"/>
  <c r="U72" i="32"/>
  <c r="AB70" i="32"/>
  <c r="AM90" i="32"/>
  <c r="AM92" i="32" s="1"/>
  <c r="AB90" i="32"/>
  <c r="I96" i="32"/>
  <c r="AK124" i="32"/>
  <c r="AR120" i="32"/>
  <c r="AR124" i="32" s="1"/>
  <c r="I136" i="32"/>
  <c r="AA160" i="32"/>
  <c r="AO160" i="32" s="1"/>
  <c r="Z160" i="32"/>
  <c r="AM160" i="32"/>
  <c r="I191" i="32"/>
  <c r="I196" i="32"/>
  <c r="M225" i="32"/>
  <c r="F18" i="47" s="1"/>
  <c r="W225" i="32"/>
  <c r="P18" i="47" s="1"/>
  <c r="AJ225" i="32"/>
  <c r="AC18" i="47" s="1"/>
  <c r="AB17" i="32"/>
  <c r="AP17" i="32" s="1"/>
  <c r="AM34" i="32"/>
  <c r="AM36" i="32" s="1"/>
  <c r="K41" i="32"/>
  <c r="AK53" i="32"/>
  <c r="AP60" i="32"/>
  <c r="AA71" i="32"/>
  <c r="AO71" i="32" s="1"/>
  <c r="AK234" i="32"/>
  <c r="U92" i="32"/>
  <c r="O109" i="32"/>
  <c r="AM115" i="32"/>
  <c r="AM116" i="32" s="1"/>
  <c r="AM119" i="32"/>
  <c r="AO127" i="32"/>
  <c r="AA141" i="32"/>
  <c r="Y146" i="32"/>
  <c r="O151" i="32"/>
  <c r="AN154" i="32"/>
  <c r="K158" i="32"/>
  <c r="I157" i="32"/>
  <c r="AK189" i="32"/>
  <c r="AA216" i="32"/>
  <c r="AQ225" i="32"/>
  <c r="AJ18" i="47" s="1"/>
  <c r="AR20" i="32"/>
  <c r="Y24" i="32"/>
  <c r="AP34" i="32"/>
  <c r="AO49" i="32"/>
  <c r="AK231" i="32"/>
  <c r="AA90" i="32"/>
  <c r="AA96" i="32"/>
  <c r="AA98" i="32"/>
  <c r="U105" i="32"/>
  <c r="U109" i="32" s="1"/>
  <c r="I110" i="32"/>
  <c r="I114" i="32" s="1"/>
  <c r="Y119" i="32"/>
  <c r="L139" i="32"/>
  <c r="AB141" i="32"/>
  <c r="AP141" i="32" s="1"/>
  <c r="AR146" i="32"/>
  <c r="AK168" i="32"/>
  <c r="L176" i="32"/>
  <c r="Y197" i="32"/>
  <c r="AA204" i="32"/>
  <c r="Z206" i="32"/>
  <c r="X228" i="32"/>
  <c r="M228" i="32"/>
  <c r="V228" i="32"/>
  <c r="I17" i="32"/>
  <c r="AM17" i="32"/>
  <c r="O33" i="32"/>
  <c r="AO35" i="32"/>
  <c r="AN35" i="32"/>
  <c r="AN36" i="32" s="1"/>
  <c r="O41" i="32"/>
  <c r="AP49" i="32"/>
  <c r="AR50" i="32"/>
  <c r="AR53" i="32" s="1"/>
  <c r="U87" i="32"/>
  <c r="I82" i="32"/>
  <c r="AA86" i="32"/>
  <c r="AO86" i="32" s="1"/>
  <c r="AK97" i="32"/>
  <c r="U100" i="32"/>
  <c r="AN109" i="32"/>
  <c r="AK109" i="32"/>
  <c r="U139" i="32"/>
  <c r="AO141" i="32"/>
  <c r="O142" i="32"/>
  <c r="AB167" i="32"/>
  <c r="AB168" i="32" s="1"/>
  <c r="AM183" i="32"/>
  <c r="AR185" i="32"/>
  <c r="AR189" i="32" s="1"/>
  <c r="AO200" i="32"/>
  <c r="AA206" i="32"/>
  <c r="AO206" i="32" s="1"/>
  <c r="I214" i="32"/>
  <c r="S228" i="32"/>
  <c r="Q225" i="32"/>
  <c r="J18" i="47" s="1"/>
  <c r="AP35" i="32"/>
  <c r="O89" i="32"/>
  <c r="I101" i="32"/>
  <c r="AR134" i="32"/>
  <c r="K151" i="32"/>
  <c r="AR154" i="32"/>
  <c r="AN176" i="32"/>
  <c r="AN194" i="32"/>
  <c r="AN197" i="32" s="1"/>
  <c r="AB206" i="32"/>
  <c r="AP206" i="32" s="1"/>
  <c r="U213" i="32"/>
  <c r="AP215" i="32"/>
  <c r="Q228" i="32"/>
  <c r="N228" i="32"/>
  <c r="AH228" i="32"/>
  <c r="O238" i="32"/>
  <c r="O16" i="32"/>
  <c r="Y16" i="32"/>
  <c r="AP18" i="32"/>
  <c r="O27" i="32"/>
  <c r="L36" i="32"/>
  <c r="I51" i="32"/>
  <c r="U68" i="32"/>
  <c r="I70" i="32"/>
  <c r="AR70" i="32"/>
  <c r="AN86" i="32"/>
  <c r="AM91" i="32"/>
  <c r="O97" i="32"/>
  <c r="AK100" i="32"/>
  <c r="Z99" i="32"/>
  <c r="AP102" i="32"/>
  <c r="I108" i="32"/>
  <c r="Z111" i="32"/>
  <c r="Z126" i="32"/>
  <c r="AB135" i="32"/>
  <c r="I143" i="32"/>
  <c r="AK146" i="32"/>
  <c r="I153" i="32"/>
  <c r="I154" i="32" s="1"/>
  <c r="Y158" i="32"/>
  <c r="AM167" i="32"/>
  <c r="AM168" i="32" s="1"/>
  <c r="I183" i="32"/>
  <c r="I184" i="32" s="1"/>
  <c r="Z215" i="32"/>
  <c r="Z14" i="32"/>
  <c r="K30" i="32"/>
  <c r="AA36" i="32"/>
  <c r="AD35" i="32"/>
  <c r="AL35" i="32" s="1"/>
  <c r="AN63" i="32"/>
  <c r="AA67" i="32"/>
  <c r="AO67" i="32" s="1"/>
  <c r="L77" i="32"/>
  <c r="AK237" i="32"/>
  <c r="AN119" i="32"/>
  <c r="Z185" i="32"/>
  <c r="L192" i="32"/>
  <c r="I195" i="32"/>
  <c r="I206" i="32"/>
  <c r="AA211" i="32"/>
  <c r="AO211" i="32" s="1"/>
  <c r="Z214" i="32"/>
  <c r="I219" i="32"/>
  <c r="W228" i="32"/>
  <c r="J155" i="29"/>
  <c r="L13" i="32"/>
  <c r="J228" i="32"/>
  <c r="J58" i="31"/>
  <c r="K16" i="30"/>
  <c r="J83" i="30"/>
  <c r="O227" i="32"/>
  <c r="AC228" i="32"/>
  <c r="AQ228" i="32"/>
  <c r="AG228" i="32"/>
  <c r="AI228" i="32"/>
  <c r="Q61" i="31"/>
  <c r="AI61" i="31"/>
  <c r="S61" i="31"/>
  <c r="AE61" i="31"/>
  <c r="AC61" i="31"/>
  <c r="T61" i="31"/>
  <c r="J61" i="31"/>
  <c r="P61" i="31"/>
  <c r="X61" i="31"/>
  <c r="AJ61" i="31"/>
  <c r="V61" i="31"/>
  <c r="Y82" i="30"/>
  <c r="O82" i="30"/>
  <c r="Z22" i="32"/>
  <c r="AM22" i="32"/>
  <c r="AA22" i="32"/>
  <c r="AO22" i="32" s="1"/>
  <c r="AB22" i="32"/>
  <c r="AP22" i="32" s="1"/>
  <c r="AN33" i="32"/>
  <c r="AR47" i="32"/>
  <c r="AB23" i="32"/>
  <c r="AP23" i="32" s="1"/>
  <c r="AA23" i="32"/>
  <c r="AO23" i="32" s="1"/>
  <c r="AM23" i="32"/>
  <c r="Z23" i="32"/>
  <c r="AP26" i="32"/>
  <c r="AA28" i="32"/>
  <c r="AM28" i="32"/>
  <c r="U30" i="32"/>
  <c r="AB28" i="32"/>
  <c r="Z28" i="32"/>
  <c r="AM29" i="32"/>
  <c r="AA29" i="32"/>
  <c r="AO29" i="32" s="1"/>
  <c r="Z29" i="32"/>
  <c r="AB29" i="32"/>
  <c r="AP29" i="32" s="1"/>
  <c r="AA56" i="32"/>
  <c r="AO56" i="32" s="1"/>
  <c r="AM56" i="32"/>
  <c r="Z56" i="32"/>
  <c r="AB56" i="32"/>
  <c r="AP56" i="32" s="1"/>
  <c r="AB15" i="32"/>
  <c r="AP15" i="32" s="1"/>
  <c r="Z15" i="32"/>
  <c r="AM15" i="32"/>
  <c r="AA15" i="32"/>
  <c r="AO15" i="32" s="1"/>
  <c r="AK30" i="32"/>
  <c r="AR33" i="32"/>
  <c r="K20" i="32"/>
  <c r="O230" i="32"/>
  <c r="U38" i="32"/>
  <c r="R225" i="32"/>
  <c r="K18" i="47" s="1"/>
  <c r="X225" i="32"/>
  <c r="Q18" i="47" s="1"/>
  <c r="AE225" i="32"/>
  <c r="AK13" i="32"/>
  <c r="Y229" i="32"/>
  <c r="AN14" i="32"/>
  <c r="AM14" i="32"/>
  <c r="U16" i="32"/>
  <c r="Z18" i="32"/>
  <c r="AM18" i="32"/>
  <c r="AB19" i="32"/>
  <c r="L20" i="32"/>
  <c r="Z21" i="32"/>
  <c r="AM21" i="32"/>
  <c r="AF24" i="32"/>
  <c r="AK23" i="32"/>
  <c r="AR23" i="32" s="1"/>
  <c r="AR24" i="32" s="1"/>
  <c r="O24" i="32"/>
  <c r="U24" i="32"/>
  <c r="U25" i="32"/>
  <c r="I26" i="32"/>
  <c r="Y27" i="32"/>
  <c r="AB31" i="32"/>
  <c r="AP31" i="32" s="1"/>
  <c r="U32" i="32"/>
  <c r="U33" i="32" s="1"/>
  <c r="Y36" i="32"/>
  <c r="AA37" i="32"/>
  <c r="AO37" i="32" s="1"/>
  <c r="Y230" i="32"/>
  <c r="AN38" i="32"/>
  <c r="U39" i="32"/>
  <c r="K236" i="32"/>
  <c r="I40" i="32"/>
  <c r="AK41" i="32"/>
  <c r="AB42" i="32"/>
  <c r="U44" i="32"/>
  <c r="AP46" i="32"/>
  <c r="AO50" i="32"/>
  <c r="AR68" i="32"/>
  <c r="O68" i="32"/>
  <c r="I73" i="32"/>
  <c r="K77" i="32"/>
  <c r="AN95" i="32"/>
  <c r="Y97" i="32"/>
  <c r="AN12" i="32"/>
  <c r="AO17" i="32"/>
  <c r="K53" i="32"/>
  <c r="P229" i="32"/>
  <c r="K238" i="32"/>
  <c r="I12" i="32"/>
  <c r="S225" i="32"/>
  <c r="L18" i="47" s="1"/>
  <c r="Y13" i="32"/>
  <c r="I14" i="32"/>
  <c r="AK20" i="32"/>
  <c r="I18" i="32"/>
  <c r="AA18" i="32"/>
  <c r="AA20" i="32" s="1"/>
  <c r="AO19" i="32"/>
  <c r="I21" i="32"/>
  <c r="AA21" i="32"/>
  <c r="AN21" i="32"/>
  <c r="AN24" i="32" s="1"/>
  <c r="K33" i="32"/>
  <c r="AK33" i="32"/>
  <c r="AB37" i="32"/>
  <c r="AP37" i="32" s="1"/>
  <c r="P230" i="32"/>
  <c r="P41" i="32"/>
  <c r="L236" i="32"/>
  <c r="K47" i="32"/>
  <c r="I43" i="32"/>
  <c r="I44" i="32"/>
  <c r="AM45" i="32"/>
  <c r="Z45" i="32"/>
  <c r="AB45" i="32"/>
  <c r="AP45" i="32" s="1"/>
  <c r="L53" i="32"/>
  <c r="O63" i="32"/>
  <c r="U59" i="32"/>
  <c r="I60" i="32"/>
  <c r="AP61" i="32"/>
  <c r="AK61" i="32"/>
  <c r="AF63" i="32"/>
  <c r="AM64" i="32"/>
  <c r="Z64" i="32"/>
  <c r="AB64" i="32"/>
  <c r="AP64" i="32" s="1"/>
  <c r="AA14" i="32"/>
  <c r="AN30" i="32"/>
  <c r="Y30" i="32"/>
  <c r="I33" i="32"/>
  <c r="AK36" i="32"/>
  <c r="AN51" i="32"/>
  <c r="AN53" i="32" s="1"/>
  <c r="AA51" i="32"/>
  <c r="AO51" i="32" s="1"/>
  <c r="Z51" i="32"/>
  <c r="O58" i="32"/>
  <c r="U54" i="32"/>
  <c r="AO83" i="32"/>
  <c r="I216" i="32"/>
  <c r="AR12" i="32"/>
  <c r="N225" i="32"/>
  <c r="G18" i="47" s="1"/>
  <c r="T225" i="32"/>
  <c r="M18" i="47" s="1"/>
  <c r="AG225" i="32"/>
  <c r="Z18" i="47" s="1"/>
  <c r="AB14" i="32"/>
  <c r="I23" i="32"/>
  <c r="I25" i="32"/>
  <c r="AN27" i="32"/>
  <c r="AR28" i="32"/>
  <c r="AR30" i="32" s="1"/>
  <c r="O30" i="32"/>
  <c r="Y33" i="32"/>
  <c r="I34" i="32"/>
  <c r="Z34" i="32"/>
  <c r="O36" i="32"/>
  <c r="O236" i="32"/>
  <c r="U40" i="32"/>
  <c r="AK47" i="32"/>
  <c r="AA46" i="32"/>
  <c r="AO46" i="32" s="1"/>
  <c r="AM46" i="32"/>
  <c r="O53" i="32"/>
  <c r="U48" i="32"/>
  <c r="AB52" i="32"/>
  <c r="AP52" i="32" s="1"/>
  <c r="Z52" i="32"/>
  <c r="AK58" i="32"/>
  <c r="AR54" i="32"/>
  <c r="AR58" i="32" s="1"/>
  <c r="AB62" i="32"/>
  <c r="AA62" i="32"/>
  <c r="AO62" i="32" s="1"/>
  <c r="AM62" i="32"/>
  <c r="L63" i="32"/>
  <c r="Z75" i="32"/>
  <c r="AB75" i="32"/>
  <c r="AP75" i="32" s="1"/>
  <c r="AA75" i="32"/>
  <c r="AO75" i="32" s="1"/>
  <c r="AP90" i="32"/>
  <c r="I90" i="32"/>
  <c r="L92" i="32"/>
  <c r="O13" i="32"/>
  <c r="L229" i="32"/>
  <c r="L16" i="32"/>
  <c r="K16" i="32"/>
  <c r="AR16" i="32"/>
  <c r="Y20" i="32"/>
  <c r="AP21" i="32"/>
  <c r="AM26" i="32"/>
  <c r="Z26" i="32"/>
  <c r="AO34" i="32"/>
  <c r="AO36" i="32" s="1"/>
  <c r="K230" i="32"/>
  <c r="I38" i="32"/>
  <c r="I39" i="32"/>
  <c r="Y236" i="32"/>
  <c r="AN40" i="32"/>
  <c r="L41" i="32"/>
  <c r="Y41" i="32"/>
  <c r="AM42" i="32"/>
  <c r="Y53" i="32"/>
  <c r="I54" i="32"/>
  <c r="K58" i="32"/>
  <c r="I69" i="32"/>
  <c r="L72" i="32"/>
  <c r="AN70" i="32"/>
  <c r="AA70" i="32"/>
  <c r="AO70" i="32" s="1"/>
  <c r="U12" i="32"/>
  <c r="AC225" i="32"/>
  <c r="V18" i="47" s="1"/>
  <c r="AI225" i="32"/>
  <c r="AB18" i="47" s="1"/>
  <c r="O229" i="32"/>
  <c r="I15" i="32"/>
  <c r="AN15" i="32"/>
  <c r="Z17" i="32"/>
  <c r="AN17" i="32"/>
  <c r="AN20" i="32" s="1"/>
  <c r="AM31" i="32"/>
  <c r="L230" i="32"/>
  <c r="Y47" i="32"/>
  <c r="U43" i="32"/>
  <c r="U47" i="32" s="1"/>
  <c r="I45" i="32"/>
  <c r="AO45" i="32"/>
  <c r="Z46" i="32"/>
  <c r="I49" i="32"/>
  <c r="Z50" i="32"/>
  <c r="AB50" i="32"/>
  <c r="AP50" i="32" s="1"/>
  <c r="AB57" i="32"/>
  <c r="AP57" i="32" s="1"/>
  <c r="AA57" i="32"/>
  <c r="AO57" i="32" s="1"/>
  <c r="AM57" i="32"/>
  <c r="AM60" i="32"/>
  <c r="AA60" i="32"/>
  <c r="AO60" i="32" s="1"/>
  <c r="AA61" i="32"/>
  <c r="AO61" i="32" s="1"/>
  <c r="AM61" i="32"/>
  <c r="Z61" i="32"/>
  <c r="AD61" i="32" s="1"/>
  <c r="AL61" i="32" s="1"/>
  <c r="AA65" i="32"/>
  <c r="AO65" i="32" s="1"/>
  <c r="AB65" i="32"/>
  <c r="AP65" i="32" s="1"/>
  <c r="Z65" i="32"/>
  <c r="AM65" i="32"/>
  <c r="AB66" i="32"/>
  <c r="AP66" i="32" s="1"/>
  <c r="AM66" i="32"/>
  <c r="AA66" i="32"/>
  <c r="AD66" i="32" s="1"/>
  <c r="AL66" i="32" s="1"/>
  <c r="I71" i="32"/>
  <c r="AM74" i="32"/>
  <c r="Z74" i="32"/>
  <c r="AB74" i="32"/>
  <c r="AP74" i="32" s="1"/>
  <c r="J225" i="32"/>
  <c r="V225" i="32"/>
  <c r="AH225" i="32"/>
  <c r="AA18" i="47" s="1"/>
  <c r="K229" i="32"/>
  <c r="AF229" i="32"/>
  <c r="AN42" i="32"/>
  <c r="AN47" i="32" s="1"/>
  <c r="Z49" i="32"/>
  <c r="AD49" i="32" s="1"/>
  <c r="AA55" i="32"/>
  <c r="AO55" i="32" s="1"/>
  <c r="K63" i="32"/>
  <c r="I64" i="32"/>
  <c r="AO66" i="32"/>
  <c r="AR72" i="32"/>
  <c r="Z70" i="32"/>
  <c r="AM70" i="32"/>
  <c r="K72" i="32"/>
  <c r="I74" i="32"/>
  <c r="AR74" i="32"/>
  <c r="AR77" i="32" s="1"/>
  <c r="AM76" i="32"/>
  <c r="Z76" i="32"/>
  <c r="L87" i="32"/>
  <c r="I78" i="32"/>
  <c r="U231" i="32"/>
  <c r="AM80" i="32"/>
  <c r="Z80" i="32"/>
  <c r="AB80" i="32"/>
  <c r="AP80" i="32" s="1"/>
  <c r="AP231" i="32" s="1"/>
  <c r="AR80" i="32"/>
  <c r="AR231" i="32" s="1"/>
  <c r="AA82" i="32"/>
  <c r="AO82" i="32" s="1"/>
  <c r="K234" i="32"/>
  <c r="I83" i="32"/>
  <c r="AM86" i="32"/>
  <c r="Z86" i="32"/>
  <c r="AB86" i="32"/>
  <c r="O87" i="32"/>
  <c r="AN100" i="32"/>
  <c r="AN104" i="32"/>
  <c r="AM105" i="32"/>
  <c r="I106" i="32"/>
  <c r="K109" i="32"/>
  <c r="AN129" i="32"/>
  <c r="Y72" i="32"/>
  <c r="O77" i="32"/>
  <c r="U73" i="32"/>
  <c r="AA78" i="32"/>
  <c r="AM78" i="32"/>
  <c r="Z78" i="32"/>
  <c r="AB79" i="32"/>
  <c r="AP79" i="32" s="1"/>
  <c r="AA79" i="32"/>
  <c r="Y231" i="32"/>
  <c r="L234" i="32"/>
  <c r="AP83" i="32"/>
  <c r="AA84" i="32"/>
  <c r="AO84" i="32" s="1"/>
  <c r="AM84" i="32"/>
  <c r="Z84" i="32"/>
  <c r="AB85" i="32"/>
  <c r="AP85" i="32" s="1"/>
  <c r="AA85" i="32"/>
  <c r="AB93" i="32"/>
  <c r="AA93" i="32"/>
  <c r="AO93" i="32" s="1"/>
  <c r="Z93" i="32"/>
  <c r="AR104" i="32"/>
  <c r="O114" i="32"/>
  <c r="U110" i="32"/>
  <c r="I63" i="32"/>
  <c r="AK68" i="32"/>
  <c r="Z67" i="32"/>
  <c r="AN67" i="32"/>
  <c r="Z69" i="32"/>
  <c r="Z71" i="32"/>
  <c r="AN71" i="32"/>
  <c r="Y87" i="32"/>
  <c r="AN78" i="32"/>
  <c r="AN87" i="32" s="1"/>
  <c r="AA80" i="32"/>
  <c r="AO80" i="32" s="1"/>
  <c r="AR237" i="32"/>
  <c r="AR89" i="32"/>
  <c r="L232" i="32"/>
  <c r="U104" i="32"/>
  <c r="AB101" i="32"/>
  <c r="AP101" i="32" s="1"/>
  <c r="AA101" i="32"/>
  <c r="Z101" i="32"/>
  <c r="AA103" i="32"/>
  <c r="AO103" i="32" s="1"/>
  <c r="AB103" i="32"/>
  <c r="AP103" i="32" s="1"/>
  <c r="Z103" i="32"/>
  <c r="AO115" i="32"/>
  <c r="AO116" i="32" s="1"/>
  <c r="AR125" i="32"/>
  <c r="AR129" i="32" s="1"/>
  <c r="AK129" i="32"/>
  <c r="Y58" i="32"/>
  <c r="AN54" i="32"/>
  <c r="AN58" i="32" s="1"/>
  <c r="AA69" i="32"/>
  <c r="AN69" i="32"/>
  <c r="AN77" i="32"/>
  <c r="AB78" i="32"/>
  <c r="Z79" i="32"/>
  <c r="K231" i="32"/>
  <c r="I80" i="32"/>
  <c r="AM82" i="32"/>
  <c r="U234" i="32"/>
  <c r="AM83" i="32"/>
  <c r="Z83" i="32"/>
  <c r="AB84" i="32"/>
  <c r="AP84" i="32" s="1"/>
  <c r="Z85" i="32"/>
  <c r="I86" i="32"/>
  <c r="K87" i="32"/>
  <c r="AB92" i="32"/>
  <c r="AO98" i="32"/>
  <c r="AO107" i="32"/>
  <c r="AK114" i="32"/>
  <c r="AR110" i="32"/>
  <c r="AR114" i="32" s="1"/>
  <c r="AB112" i="32"/>
  <c r="AP112" i="32" s="1"/>
  <c r="AA112" i="32"/>
  <c r="AO112" i="32" s="1"/>
  <c r="Z112" i="32"/>
  <c r="AM112" i="32"/>
  <c r="AB117" i="32"/>
  <c r="AP117" i="32" s="1"/>
  <c r="AA117" i="32"/>
  <c r="AA119" i="32" s="1"/>
  <c r="U119" i="32"/>
  <c r="Z117" i="32"/>
  <c r="AA123" i="32"/>
  <c r="AO123" i="32" s="1"/>
  <c r="Z123" i="32"/>
  <c r="AM123" i="32"/>
  <c r="AB123" i="32"/>
  <c r="AP123" i="32" s="1"/>
  <c r="I129" i="32"/>
  <c r="AR38" i="32"/>
  <c r="AF230" i="32"/>
  <c r="AK236" i="32"/>
  <c r="AR40" i="32"/>
  <c r="AF41" i="32"/>
  <c r="Y68" i="32"/>
  <c r="AN64" i="32"/>
  <c r="O72" i="32"/>
  <c r="AO79" i="32"/>
  <c r="AA81" i="32"/>
  <c r="AO81" i="32" s="1"/>
  <c r="AM81" i="32"/>
  <c r="AR83" i="32"/>
  <c r="AR234" i="32" s="1"/>
  <c r="AO85" i="32"/>
  <c r="AP86" i="32"/>
  <c r="Y237" i="32"/>
  <c r="Y89" i="32"/>
  <c r="AN88" i="32"/>
  <c r="AO90" i="32"/>
  <c r="AM93" i="32"/>
  <c r="AA95" i="32"/>
  <c r="AO95" i="32" s="1"/>
  <c r="AB95" i="32"/>
  <c r="AP95" i="32" s="1"/>
  <c r="Z95" i="32"/>
  <c r="I98" i="32"/>
  <c r="L100" i="32"/>
  <c r="Y139" i="32"/>
  <c r="AN135" i="32"/>
  <c r="AN139" i="32" s="1"/>
  <c r="AA135" i="32"/>
  <c r="AR177" i="32"/>
  <c r="AR181" i="32" s="1"/>
  <c r="AK181" i="32"/>
  <c r="AA179" i="32"/>
  <c r="AO179" i="32" s="1"/>
  <c r="Z179" i="32"/>
  <c r="AM179" i="32"/>
  <c r="AB179" i="32"/>
  <c r="AP179" i="32" s="1"/>
  <c r="L231" i="32"/>
  <c r="Y234" i="32"/>
  <c r="I89" i="32"/>
  <c r="I91" i="32"/>
  <c r="AA91" i="32"/>
  <c r="O232" i="32"/>
  <c r="I95" i="32"/>
  <c r="I99" i="32"/>
  <c r="AA99" i="32"/>
  <c r="I103" i="32"/>
  <c r="Y104" i="32"/>
  <c r="AB106" i="32"/>
  <c r="Z107" i="32"/>
  <c r="AD107" i="32" s="1"/>
  <c r="AM107" i="32"/>
  <c r="AB108" i="32"/>
  <c r="AP108" i="32" s="1"/>
  <c r="AB111" i="32"/>
  <c r="AP111" i="32" s="1"/>
  <c r="AA113" i="32"/>
  <c r="I115" i="32"/>
  <c r="AA115" i="32"/>
  <c r="AA116" i="32" s="1"/>
  <c r="AN115" i="32"/>
  <c r="AN116" i="32" s="1"/>
  <c r="L116" i="32"/>
  <c r="I117" i="32"/>
  <c r="AB118" i="32"/>
  <c r="AP118" i="32" s="1"/>
  <c r="O119" i="32"/>
  <c r="AA120" i="32"/>
  <c r="I121" i="32"/>
  <c r="AO136" i="32"/>
  <c r="AB140" i="32"/>
  <c r="AM140" i="32"/>
  <c r="AM142" i="32" s="1"/>
  <c r="AA140" i="32"/>
  <c r="AA142" i="32" s="1"/>
  <c r="I145" i="32"/>
  <c r="Z154" i="32"/>
  <c r="U158" i="32"/>
  <c r="AB155" i="32"/>
  <c r="AA155" i="32"/>
  <c r="AO155" i="32" s="1"/>
  <c r="Z155" i="32"/>
  <c r="I169" i="32"/>
  <c r="L171" i="32"/>
  <c r="AP169" i="32"/>
  <c r="AP171" i="32" s="1"/>
  <c r="O231" i="32"/>
  <c r="AK87" i="32"/>
  <c r="U88" i="32"/>
  <c r="AB91" i="32"/>
  <c r="AP91" i="32" s="1"/>
  <c r="Y92" i="32"/>
  <c r="U94" i="32"/>
  <c r="AB99" i="32"/>
  <c r="Y100" i="32"/>
  <c r="K104" i="32"/>
  <c r="AM102" i="32"/>
  <c r="AM104" i="32" s="1"/>
  <c r="Z102" i="32"/>
  <c r="AD102" i="32" s="1"/>
  <c r="I107" i="32"/>
  <c r="AR108" i="32"/>
  <c r="AR109" i="32" s="1"/>
  <c r="Y114" i="32"/>
  <c r="AN110" i="32"/>
  <c r="AN114" i="32" s="1"/>
  <c r="AB113" i="32"/>
  <c r="AP113" i="32" s="1"/>
  <c r="AB115" i="32"/>
  <c r="AB116" i="32" s="1"/>
  <c r="K124" i="32"/>
  <c r="AM122" i="32"/>
  <c r="Z122" i="32"/>
  <c r="AA122" i="32"/>
  <c r="AO122" i="32" s="1"/>
  <c r="AB127" i="32"/>
  <c r="AP127" i="32" s="1"/>
  <c r="AM127" i="32"/>
  <c r="Z127" i="32"/>
  <c r="Y134" i="32"/>
  <c r="AA130" i="32"/>
  <c r="I131" i="32"/>
  <c r="AN132" i="32"/>
  <c r="AN134" i="32" s="1"/>
  <c r="Z132" i="32"/>
  <c r="Z136" i="32"/>
  <c r="AM136" i="32"/>
  <c r="AB136" i="32"/>
  <c r="AF151" i="32"/>
  <c r="AK149" i="32"/>
  <c r="I163" i="32"/>
  <c r="K166" i="32"/>
  <c r="L97" i="32"/>
  <c r="Y232" i="32"/>
  <c r="AN94" i="32"/>
  <c r="AR95" i="32"/>
  <c r="AR97" i="32" s="1"/>
  <c r="O104" i="32"/>
  <c r="L119" i="32"/>
  <c r="AF119" i="32"/>
  <c r="AK118" i="32"/>
  <c r="AR118" i="32" s="1"/>
  <c r="AR119" i="32" s="1"/>
  <c r="AP120" i="32"/>
  <c r="L124" i="32"/>
  <c r="U121" i="32"/>
  <c r="O124" i="32"/>
  <c r="O129" i="32"/>
  <c r="U125" i="32"/>
  <c r="AO126" i="32"/>
  <c r="AA131" i="32"/>
  <c r="AO131" i="32" s="1"/>
  <c r="U134" i="32"/>
  <c r="AB131" i="32"/>
  <c r="AP131" i="32" s="1"/>
  <c r="Z131" i="32"/>
  <c r="K139" i="32"/>
  <c r="I135" i="32"/>
  <c r="Z142" i="32"/>
  <c r="AN151" i="32"/>
  <c r="AM148" i="32"/>
  <c r="Z148" i="32"/>
  <c r="AB148" i="32"/>
  <c r="AP148" i="32" s="1"/>
  <c r="AA148" i="32"/>
  <c r="AO148" i="32" s="1"/>
  <c r="I150" i="32"/>
  <c r="AB156" i="32"/>
  <c r="AP156" i="32" s="1"/>
  <c r="AM156" i="32"/>
  <c r="Z156" i="32"/>
  <c r="AA156" i="32"/>
  <c r="AO156" i="32" s="1"/>
  <c r="Z90" i="32"/>
  <c r="AN90" i="32"/>
  <c r="AN92" i="32" s="1"/>
  <c r="O92" i="32"/>
  <c r="O100" i="32"/>
  <c r="AP107" i="32"/>
  <c r="Y109" i="32"/>
  <c r="O116" i="32"/>
  <c r="Y124" i="32"/>
  <c r="AN121" i="32"/>
  <c r="AN124" i="32" s="1"/>
  <c r="AM128" i="32"/>
  <c r="AB128" i="32"/>
  <c r="AP128" i="32" s="1"/>
  <c r="AA128" i="32"/>
  <c r="AD128" i="32" s="1"/>
  <c r="AL128" i="32" s="1"/>
  <c r="AB143" i="32"/>
  <c r="AA143" i="32"/>
  <c r="Z143" i="32"/>
  <c r="AM143" i="32"/>
  <c r="AP144" i="32"/>
  <c r="I144" i="32"/>
  <c r="L146" i="32"/>
  <c r="AA157" i="32"/>
  <c r="AO157" i="32" s="1"/>
  <c r="AM157" i="32"/>
  <c r="AB157" i="32"/>
  <c r="AP157" i="32" s="1"/>
  <c r="Z157" i="32"/>
  <c r="I180" i="32"/>
  <c r="AB192" i="32"/>
  <c r="O234" i="32"/>
  <c r="K237" i="32"/>
  <c r="K232" i="32"/>
  <c r="I94" i="32"/>
  <c r="AO96" i="32"/>
  <c r="I102" i="32"/>
  <c r="AM111" i="32"/>
  <c r="K114" i="32"/>
  <c r="AO118" i="32"/>
  <c r="I118" i="32"/>
  <c r="Z118" i="32"/>
  <c r="AM120" i="32"/>
  <c r="Z120" i="32"/>
  <c r="I122" i="32"/>
  <c r="L134" i="32"/>
  <c r="AK139" i="32"/>
  <c r="AR136" i="32"/>
  <c r="AM137" i="32"/>
  <c r="Z137" i="32"/>
  <c r="AB137" i="32"/>
  <c r="AP137" i="32" s="1"/>
  <c r="AA137" i="32"/>
  <c r="AO137" i="32" s="1"/>
  <c r="O146" i="32"/>
  <c r="U146" i="32"/>
  <c r="I175" i="32"/>
  <c r="K176" i="32"/>
  <c r="L237" i="32"/>
  <c r="L89" i="32"/>
  <c r="AA126" i="32"/>
  <c r="AK134" i="32"/>
  <c r="I133" i="32"/>
  <c r="Z133" i="32"/>
  <c r="Z135" i="32"/>
  <c r="AM135" i="32"/>
  <c r="O139" i="32"/>
  <c r="I147" i="32"/>
  <c r="AB152" i="32"/>
  <c r="AB154" i="32" s="1"/>
  <c r="AA153" i="32"/>
  <c r="O154" i="32"/>
  <c r="U154" i="32"/>
  <c r="AM159" i="32"/>
  <c r="Z159" i="32"/>
  <c r="AB159" i="32"/>
  <c r="AB162" i="32"/>
  <c r="AD162" i="32" s="1"/>
  <c r="AL162" i="32" s="1"/>
  <c r="AA172" i="32"/>
  <c r="AB172" i="32"/>
  <c r="AP172" i="32" s="1"/>
  <c r="AM172" i="32"/>
  <c r="AR173" i="32"/>
  <c r="AR176" i="32" s="1"/>
  <c r="P232" i="32"/>
  <c r="P176" i="32"/>
  <c r="U174" i="32"/>
  <c r="U181" i="32"/>
  <c r="AN181" i="32"/>
  <c r="AO185" i="32"/>
  <c r="I185" i="32"/>
  <c r="AA187" i="32"/>
  <c r="AO187" i="32" s="1"/>
  <c r="AM187" i="32"/>
  <c r="Z187" i="32"/>
  <c r="AA191" i="32"/>
  <c r="AO191" i="32" s="1"/>
  <c r="AB191" i="32"/>
  <c r="AM191" i="32"/>
  <c r="Z191" i="32"/>
  <c r="AD191" i="32" s="1"/>
  <c r="AL191" i="32" s="1"/>
  <c r="I204" i="32"/>
  <c r="AO204" i="32"/>
  <c r="AB126" i="32"/>
  <c r="AP126" i="32" s="1"/>
  <c r="AM130" i="32"/>
  <c r="Z130" i="32"/>
  <c r="K142" i="32"/>
  <c r="AM144" i="32"/>
  <c r="AM145" i="32"/>
  <c r="Z145" i="32"/>
  <c r="Z149" i="32"/>
  <c r="AB149" i="32"/>
  <c r="AP149" i="32" s="1"/>
  <c r="AM149" i="32"/>
  <c r="Y151" i="32"/>
  <c r="L154" i="32"/>
  <c r="AP152" i="32"/>
  <c r="AP154" i="32" s="1"/>
  <c r="I155" i="32"/>
  <c r="Y166" i="32"/>
  <c r="AK163" i="32"/>
  <c r="AR163" i="32" s="1"/>
  <c r="AF166" i="32"/>
  <c r="L168" i="32"/>
  <c r="I167" i="32"/>
  <c r="AA169" i="32"/>
  <c r="U171" i="32"/>
  <c r="Z169" i="32"/>
  <c r="AM169" i="32"/>
  <c r="I170" i="32"/>
  <c r="I173" i="32"/>
  <c r="AB175" i="32"/>
  <c r="AP175" i="32" s="1"/>
  <c r="Z175" i="32"/>
  <c r="AB180" i="32"/>
  <c r="AP180" i="32" s="1"/>
  <c r="AM180" i="32"/>
  <c r="Z180" i="32"/>
  <c r="AA180" i="32"/>
  <c r="AO180" i="32" s="1"/>
  <c r="AB194" i="32"/>
  <c r="AA194" i="32"/>
  <c r="AO194" i="32" s="1"/>
  <c r="Z194" i="32"/>
  <c r="AM194" i="32"/>
  <c r="AB196" i="32"/>
  <c r="AP196" i="32" s="1"/>
  <c r="AA196" i="32"/>
  <c r="AO196" i="32" s="1"/>
  <c r="AM196" i="32"/>
  <c r="AK142" i="32"/>
  <c r="AN145" i="32"/>
  <c r="AN146" i="32" s="1"/>
  <c r="I148" i="32"/>
  <c r="AM150" i="32"/>
  <c r="Z150" i="32"/>
  <c r="AB150" i="32"/>
  <c r="AP150" i="32" s="1"/>
  <c r="AA165" i="32"/>
  <c r="AO165" i="32" s="1"/>
  <c r="AN165" i="32"/>
  <c r="AN166" i="32" s="1"/>
  <c r="Z165" i="32"/>
  <c r="AF232" i="32"/>
  <c r="AF176" i="32"/>
  <c r="AK174" i="32"/>
  <c r="AR174" i="32" s="1"/>
  <c r="AA183" i="32"/>
  <c r="AO183" i="32" s="1"/>
  <c r="AN183" i="32"/>
  <c r="Z183" i="32"/>
  <c r="AB188" i="32"/>
  <c r="AP188" i="32" s="1"/>
  <c r="AM188" i="32"/>
  <c r="Z188" i="32"/>
  <c r="AA188" i="32"/>
  <c r="AP195" i="32"/>
  <c r="O134" i="32"/>
  <c r="AP135" i="32"/>
  <c r="AM138" i="32"/>
  <c r="AO143" i="32"/>
  <c r="AA145" i="32"/>
  <c r="AO145" i="32" s="1"/>
  <c r="AA149" i="32"/>
  <c r="AO149" i="32" s="1"/>
  <c r="AM152" i="32"/>
  <c r="I156" i="32"/>
  <c r="AB161" i="32"/>
  <c r="AP161" i="32" s="1"/>
  <c r="AM161" i="32"/>
  <c r="Z161" i="32"/>
  <c r="AM163" i="32"/>
  <c r="AA163" i="32"/>
  <c r="AB164" i="32"/>
  <c r="AP164" i="32" s="1"/>
  <c r="AM164" i="32"/>
  <c r="AA164" i="32"/>
  <c r="Y168" i="32"/>
  <c r="AN167" i="32"/>
  <c r="AN168" i="32" s="1"/>
  <c r="AA167" i="32"/>
  <c r="AA168" i="32" s="1"/>
  <c r="Z167" i="32"/>
  <c r="AB171" i="32"/>
  <c r="AM170" i="32"/>
  <c r="Z170" i="32"/>
  <c r="AA170" i="32"/>
  <c r="AO170" i="32" s="1"/>
  <c r="O176" i="32"/>
  <c r="U173" i="32"/>
  <c r="U176" i="32" s="1"/>
  <c r="AA175" i="32"/>
  <c r="AO175" i="32" s="1"/>
  <c r="K181" i="32"/>
  <c r="AA195" i="32"/>
  <c r="AO195" i="32" s="1"/>
  <c r="AM195" i="32"/>
  <c r="Z195" i="32"/>
  <c r="K129" i="32"/>
  <c r="I130" i="32"/>
  <c r="AB130" i="32"/>
  <c r="AB134" i="32" s="1"/>
  <c r="AA132" i="32"/>
  <c r="AO132" i="32" s="1"/>
  <c r="Z138" i="32"/>
  <c r="AD138" i="32" s="1"/>
  <c r="AL138" i="32" s="1"/>
  <c r="Y142" i="32"/>
  <c r="AB145" i="32"/>
  <c r="AP145" i="32" s="1"/>
  <c r="U147" i="32"/>
  <c r="AA150" i="32"/>
  <c r="AO150" i="32" s="1"/>
  <c r="AM153" i="32"/>
  <c r="Y154" i="32"/>
  <c r="O158" i="32"/>
  <c r="AK158" i="32"/>
  <c r="I159" i="32"/>
  <c r="AO159" i="32"/>
  <c r="L166" i="32"/>
  <c r="AP160" i="32"/>
  <c r="U166" i="32"/>
  <c r="AO169" i="32"/>
  <c r="AK171" i="32"/>
  <c r="AR169" i="32"/>
  <c r="AR171" i="32" s="1"/>
  <c r="K171" i="32"/>
  <c r="Y181" i="32"/>
  <c r="AA178" i="32"/>
  <c r="AO178" i="32" s="1"/>
  <c r="AN182" i="32"/>
  <c r="Z182" i="32"/>
  <c r="Y192" i="32"/>
  <c r="AA190" i="32"/>
  <c r="AO164" i="32"/>
  <c r="O168" i="32"/>
  <c r="Y176" i="32"/>
  <c r="AM177" i="32"/>
  <c r="AM178" i="32"/>
  <c r="Z178" i="32"/>
  <c r="O181" i="32"/>
  <c r="L189" i="32"/>
  <c r="AB185" i="32"/>
  <c r="I186" i="32"/>
  <c r="Y189" i="32"/>
  <c r="AM190" i="32"/>
  <c r="AM192" i="32" s="1"/>
  <c r="Z190" i="32"/>
  <c r="O192" i="32"/>
  <c r="U192" i="32"/>
  <c r="I193" i="32"/>
  <c r="K197" i="32"/>
  <c r="AR202" i="32"/>
  <c r="AM199" i="32"/>
  <c r="L207" i="32"/>
  <c r="I203" i="32"/>
  <c r="I209" i="32"/>
  <c r="K212" i="32"/>
  <c r="AR217" i="32"/>
  <c r="AM220" i="32"/>
  <c r="AA220" i="32"/>
  <c r="AO220" i="32" s="1"/>
  <c r="Z220" i="32"/>
  <c r="AB220" i="32"/>
  <c r="AP220" i="32" s="1"/>
  <c r="AK222" i="32"/>
  <c r="AR159" i="32"/>
  <c r="I165" i="32"/>
  <c r="I177" i="32"/>
  <c r="AO177" i="32"/>
  <c r="AR184" i="32"/>
  <c r="AM185" i="32"/>
  <c r="AM186" i="32"/>
  <c r="Z186" i="32"/>
  <c r="O189" i="32"/>
  <c r="U189" i="32"/>
  <c r="O197" i="32"/>
  <c r="U193" i="32"/>
  <c r="I198" i="32"/>
  <c r="O202" i="32"/>
  <c r="AN203" i="32"/>
  <c r="AN207" i="32" s="1"/>
  <c r="Y207" i="32"/>
  <c r="Z205" i="32"/>
  <c r="AB205" i="32"/>
  <c r="AP205" i="32" s="1"/>
  <c r="AA205" i="32"/>
  <c r="AO205" i="32" s="1"/>
  <c r="AM209" i="32"/>
  <c r="Z209" i="32"/>
  <c r="AA209" i="32"/>
  <c r="AB209" i="32"/>
  <c r="I210" i="32"/>
  <c r="Y217" i="32"/>
  <c r="AN213" i="32"/>
  <c r="AA213" i="32"/>
  <c r="AO213" i="32" s="1"/>
  <c r="I223" i="32"/>
  <c r="K224" i="32"/>
  <c r="AN171" i="32"/>
  <c r="O171" i="32"/>
  <c r="AN189" i="32"/>
  <c r="AO188" i="32"/>
  <c r="I188" i="32"/>
  <c r="AP198" i="32"/>
  <c r="L202" i="32"/>
  <c r="AA199" i="32"/>
  <c r="AO199" i="32" s="1"/>
  <c r="AB199" i="32"/>
  <c r="Z199" i="32"/>
  <c r="Z204" i="32"/>
  <c r="AB204" i="32"/>
  <c r="AP204" i="32" s="1"/>
  <c r="K222" i="32"/>
  <c r="I218" i="32"/>
  <c r="L181" i="32"/>
  <c r="I178" i="32"/>
  <c r="L184" i="32"/>
  <c r="AA186" i="32"/>
  <c r="AO186" i="32" s="1"/>
  <c r="K192" i="32"/>
  <c r="I190" i="32"/>
  <c r="AK192" i="32"/>
  <c r="AR190" i="32"/>
  <c r="AR192" i="32" s="1"/>
  <c r="AP191" i="32"/>
  <c r="AK207" i="32"/>
  <c r="AR205" i="32"/>
  <c r="AR207" i="32" s="1"/>
  <c r="L212" i="32"/>
  <c r="AR208" i="32"/>
  <c r="AR212" i="32" s="1"/>
  <c r="AK212" i="32"/>
  <c r="AA210" i="32"/>
  <c r="AO210" i="32" s="1"/>
  <c r="AB210" i="32"/>
  <c r="AP210" i="32" s="1"/>
  <c r="Z210" i="32"/>
  <c r="AN222" i="32"/>
  <c r="U223" i="32"/>
  <c r="O224" i="32"/>
  <c r="AK202" i="32"/>
  <c r="I201" i="32"/>
  <c r="Z201" i="32"/>
  <c r="K207" i="32"/>
  <c r="AM208" i="32"/>
  <c r="Y212" i="32"/>
  <c r="AA214" i="32"/>
  <c r="AO214" i="32" s="1"/>
  <c r="AM215" i="32"/>
  <c r="AM216" i="32"/>
  <c r="Z216" i="32"/>
  <c r="AB216" i="32"/>
  <c r="AP216" i="32" s="1"/>
  <c r="AN216" i="32"/>
  <c r="AP221" i="32"/>
  <c r="I221" i="32"/>
  <c r="AF222" i="32"/>
  <c r="Y224" i="32"/>
  <c r="AN223" i="32"/>
  <c r="AN224" i="32" s="1"/>
  <c r="AP194" i="32"/>
  <c r="AM198" i="32"/>
  <c r="Z198" i="32"/>
  <c r="AA201" i="32"/>
  <c r="AO201" i="32" s="1"/>
  <c r="K217" i="32"/>
  <c r="I213" i="32"/>
  <c r="O222" i="32"/>
  <c r="AA221" i="32"/>
  <c r="AO221" i="32" s="1"/>
  <c r="AM221" i="32"/>
  <c r="Z221" i="32"/>
  <c r="Y202" i="32"/>
  <c r="AN198" i="32"/>
  <c r="AN202" i="32" s="1"/>
  <c r="AM200" i="32"/>
  <c r="AP201" i="32"/>
  <c r="I205" i="32"/>
  <c r="I211" i="32"/>
  <c r="AK217" i="32"/>
  <c r="I215" i="32"/>
  <c r="U218" i="32"/>
  <c r="AM219" i="32"/>
  <c r="Z219" i="32"/>
  <c r="AK224" i="32"/>
  <c r="O207" i="32"/>
  <c r="U203" i="32"/>
  <c r="AB211" i="32"/>
  <c r="AP211" i="32" s="1"/>
  <c r="Z211" i="32"/>
  <c r="Z213" i="32"/>
  <c r="AO216" i="32"/>
  <c r="L217" i="32"/>
  <c r="AR222" i="32"/>
  <c r="AA219" i="32"/>
  <c r="AO219" i="32" s="1"/>
  <c r="AP28" i="31"/>
  <c r="AL16" i="31"/>
  <c r="AO19" i="31"/>
  <c r="AL36" i="31"/>
  <c r="I17" i="31"/>
  <c r="AL15" i="31"/>
  <c r="AL17" i="31" s="1"/>
  <c r="AO21" i="31"/>
  <c r="AR17" i="31"/>
  <c r="AL18" i="31"/>
  <c r="AM19" i="31"/>
  <c r="Z19" i="31"/>
  <c r="AB19" i="31"/>
  <c r="AB20" i="31" s="1"/>
  <c r="AA19" i="31"/>
  <c r="AB31" i="31"/>
  <c r="AP31" i="31" s="1"/>
  <c r="AA31" i="31"/>
  <c r="Z31" i="31"/>
  <c r="AM31" i="31"/>
  <c r="AP12" i="31"/>
  <c r="AB14" i="31"/>
  <c r="AP18" i="31"/>
  <c r="AD29" i="31"/>
  <c r="AO29" i="31"/>
  <c r="AD13" i="31"/>
  <c r="AL13" i="31" s="1"/>
  <c r="AP15" i="31"/>
  <c r="AP17" i="31" s="1"/>
  <c r="AB17" i="31"/>
  <c r="AN20" i="31"/>
  <c r="AB71" i="31"/>
  <c r="AB22" i="31"/>
  <c r="AP30" i="31"/>
  <c r="I39" i="31"/>
  <c r="AA20" i="31"/>
  <c r="I23" i="31"/>
  <c r="K63" i="31"/>
  <c r="AM24" i="31"/>
  <c r="Z24" i="31"/>
  <c r="K70" i="31"/>
  <c r="K34" i="31"/>
  <c r="AO33" i="31"/>
  <c r="L62" i="31"/>
  <c r="AO12" i="31"/>
  <c r="AO13" i="31"/>
  <c r="K14" i="31"/>
  <c r="Q58" i="31"/>
  <c r="W58" i="31"/>
  <c r="AC58" i="31"/>
  <c r="AI58" i="31"/>
  <c r="AO15" i="31"/>
  <c r="AO16" i="31"/>
  <c r="K17" i="31"/>
  <c r="AK20" i="31"/>
  <c r="AA21" i="31"/>
  <c r="L22" i="31"/>
  <c r="L63" i="31"/>
  <c r="AQ63" i="31"/>
  <c r="AQ27" i="31"/>
  <c r="AA25" i="31"/>
  <c r="AO25" i="31" s="1"/>
  <c r="K69" i="31"/>
  <c r="K27" i="31"/>
  <c r="Z28" i="31"/>
  <c r="AM28" i="31"/>
  <c r="I29" i="31"/>
  <c r="AL29" i="31" s="1"/>
  <c r="AA29" i="31"/>
  <c r="AO30" i="31"/>
  <c r="AA30" i="31"/>
  <c r="L32" i="31"/>
  <c r="AQ34" i="31"/>
  <c r="AN39" i="31"/>
  <c r="AK65" i="31"/>
  <c r="AR36" i="31"/>
  <c r="AR65" i="31" s="1"/>
  <c r="AB40" i="31"/>
  <c r="AA40" i="31"/>
  <c r="AO40" i="31" s="1"/>
  <c r="AB41" i="31"/>
  <c r="AP41" i="31" s="1"/>
  <c r="AA41" i="31"/>
  <c r="AD41" i="31" s="1"/>
  <c r="AL41" i="31" s="1"/>
  <c r="U47" i="31"/>
  <c r="U62" i="31" s="1"/>
  <c r="O51" i="31"/>
  <c r="I48" i="31"/>
  <c r="AO48" i="31"/>
  <c r="Y53" i="31"/>
  <c r="AN52" i="31"/>
  <c r="AN53" i="31" s="1"/>
  <c r="AA52" i="31"/>
  <c r="AQ69" i="31"/>
  <c r="Y22" i="31"/>
  <c r="AK32" i="31"/>
  <c r="O62" i="31"/>
  <c r="AD12" i="31"/>
  <c r="R58" i="31"/>
  <c r="X58" i="31"/>
  <c r="AJ58" i="31"/>
  <c r="AD15" i="31"/>
  <c r="AD17" i="31" s="1"/>
  <c r="O20" i="31"/>
  <c r="O58" i="31" s="1"/>
  <c r="AD18" i="31"/>
  <c r="K20" i="31"/>
  <c r="K71" i="31"/>
  <c r="I21" i="31"/>
  <c r="I71" i="31" s="1"/>
  <c r="AP21" i="31"/>
  <c r="O63" i="31"/>
  <c r="AR23" i="31"/>
  <c r="AA24" i="31"/>
  <c r="L27" i="31"/>
  <c r="I28" i="31"/>
  <c r="AA28" i="31"/>
  <c r="AA32" i="31" s="1"/>
  <c r="AN28" i="31"/>
  <c r="AN32" i="31" s="1"/>
  <c r="AK70" i="31"/>
  <c r="AR33" i="31"/>
  <c r="Z35" i="31"/>
  <c r="AP35" i="31"/>
  <c r="AM36" i="31"/>
  <c r="AR57" i="31"/>
  <c r="U39" i="31"/>
  <c r="AK62" i="31"/>
  <c r="AQ62" i="31"/>
  <c r="Y14" i="31"/>
  <c r="AE58" i="31"/>
  <c r="AK14" i="31"/>
  <c r="AQ14" i="31"/>
  <c r="AK17" i="31"/>
  <c r="U20" i="31"/>
  <c r="AM18" i="31"/>
  <c r="AM20" i="31" s="1"/>
  <c r="L20" i="31"/>
  <c r="AM23" i="31"/>
  <c r="Z23" i="31"/>
  <c r="I24" i="31"/>
  <c r="AB24" i="31"/>
  <c r="AP24" i="31" s="1"/>
  <c r="O69" i="31"/>
  <c r="U26" i="31"/>
  <c r="AK69" i="31"/>
  <c r="K32" i="31"/>
  <c r="AB28" i="31"/>
  <c r="U70" i="31"/>
  <c r="AB33" i="31"/>
  <c r="AM33" i="31"/>
  <c r="K39" i="31"/>
  <c r="AA35" i="31"/>
  <c r="AQ39" i="31"/>
  <c r="AM50" i="31"/>
  <c r="Z50" i="31"/>
  <c r="AD50" i="31" s="1"/>
  <c r="AL50" i="31" s="1"/>
  <c r="AB50" i="31"/>
  <c r="AP50" i="31" s="1"/>
  <c r="AA50" i="31"/>
  <c r="AO50" i="31" s="1"/>
  <c r="AM35" i="31"/>
  <c r="AR12" i="31"/>
  <c r="N58" i="31"/>
  <c r="G17" i="47" s="1"/>
  <c r="AF58" i="31"/>
  <c r="I19" i="31"/>
  <c r="O71" i="31"/>
  <c r="O22" i="31"/>
  <c r="AR21" i="31"/>
  <c r="Y63" i="31"/>
  <c r="Y27" i="31"/>
  <c r="AN23" i="31"/>
  <c r="AF63" i="31"/>
  <c r="AF61" i="31" s="1"/>
  <c r="AK25" i="31"/>
  <c r="AR25" i="31" s="1"/>
  <c r="AR69" i="31"/>
  <c r="AO31" i="31"/>
  <c r="O32" i="31"/>
  <c r="AB37" i="31"/>
  <c r="AP37" i="31" s="1"/>
  <c r="AP65" i="31" s="1"/>
  <c r="AA37" i="31"/>
  <c r="AO37" i="31" s="1"/>
  <c r="AB38" i="31"/>
  <c r="AP38" i="31" s="1"/>
  <c r="AA38" i="31"/>
  <c r="AD38" i="31" s="1"/>
  <c r="AL38" i="31" s="1"/>
  <c r="I42" i="31"/>
  <c r="Y57" i="31"/>
  <c r="AN54" i="31"/>
  <c r="AN57" i="31" s="1"/>
  <c r="AO18" i="31"/>
  <c r="AN21" i="31"/>
  <c r="AP23" i="31"/>
  <c r="I12" i="31"/>
  <c r="AA14" i="31"/>
  <c r="AM14" i="31"/>
  <c r="U71" i="31"/>
  <c r="U22" i="31"/>
  <c r="AM21" i="31"/>
  <c r="Z21" i="31"/>
  <c r="AO23" i="31"/>
  <c r="Z30" i="31"/>
  <c r="AD30" i="31" s="1"/>
  <c r="AL30" i="31" s="1"/>
  <c r="AM30" i="31"/>
  <c r="I33" i="31"/>
  <c r="Z70" i="31"/>
  <c r="Z34" i="31"/>
  <c r="AA34" i="31"/>
  <c r="AR35" i="31"/>
  <c r="AK39" i="31"/>
  <c r="K65" i="31"/>
  <c r="AO36" i="31"/>
  <c r="I44" i="31"/>
  <c r="AM45" i="31"/>
  <c r="Z45" i="31"/>
  <c r="AD45" i="31" s="1"/>
  <c r="AL45" i="31" s="1"/>
  <c r="AB45" i="31"/>
  <c r="AP45" i="31" s="1"/>
  <c r="AA45" i="31"/>
  <c r="AP49" i="31"/>
  <c r="K46" i="31"/>
  <c r="Y51" i="31"/>
  <c r="AN47" i="31"/>
  <c r="AN51" i="31" s="1"/>
  <c r="K51" i="31"/>
  <c r="AB56" i="31"/>
  <c r="AP56" i="31" s="1"/>
  <c r="AA56" i="31"/>
  <c r="AO56" i="31" s="1"/>
  <c r="AM56" i="31"/>
  <c r="Z56" i="31"/>
  <c r="L65" i="31"/>
  <c r="AO45" i="31"/>
  <c r="AM48" i="31"/>
  <c r="Z48" i="31"/>
  <c r="AD48" i="31" s="1"/>
  <c r="I49" i="31"/>
  <c r="W61" i="31"/>
  <c r="AM44" i="31"/>
  <c r="Z44" i="31"/>
  <c r="AD44" i="31" s="1"/>
  <c r="AN48" i="31"/>
  <c r="AN65" i="31" s="1"/>
  <c r="AA55" i="31"/>
  <c r="AO55" i="31" s="1"/>
  <c r="AM55" i="31"/>
  <c r="Z55" i="31"/>
  <c r="AK42" i="31"/>
  <c r="U43" i="31"/>
  <c r="U63" i="31" s="1"/>
  <c r="I51" i="31"/>
  <c r="AM49" i="31"/>
  <c r="Z49" i="31"/>
  <c r="AD49" i="31" s="1"/>
  <c r="L53" i="31"/>
  <c r="AP52" i="31"/>
  <c r="AP53" i="31" s="1"/>
  <c r="K53" i="31"/>
  <c r="L57" i="31"/>
  <c r="AP54" i="31"/>
  <c r="Y65" i="31"/>
  <c r="Y46" i="31"/>
  <c r="AR43" i="31"/>
  <c r="AR46" i="31" s="1"/>
  <c r="AA44" i="31"/>
  <c r="AO44" i="31" s="1"/>
  <c r="U53" i="31"/>
  <c r="AM52" i="31"/>
  <c r="AM53" i="31" s="1"/>
  <c r="Z52" i="31"/>
  <c r="AA54" i="31"/>
  <c r="U57" i="31"/>
  <c r="AM54" i="31"/>
  <c r="Z54" i="31"/>
  <c r="AB55" i="31"/>
  <c r="AB57" i="31" s="1"/>
  <c r="O53" i="31"/>
  <c r="I54" i="31"/>
  <c r="O57" i="31"/>
  <c r="Y93" i="30"/>
  <c r="Y16" i="30"/>
  <c r="AN15" i="30"/>
  <c r="AA18" i="30"/>
  <c r="AO18" i="30" s="1"/>
  <c r="AM18" i="30"/>
  <c r="Z18" i="30"/>
  <c r="AB19" i="30"/>
  <c r="AP19" i="30" s="1"/>
  <c r="Z19" i="30"/>
  <c r="AB21" i="30"/>
  <c r="AP21" i="30" s="1"/>
  <c r="AA21" i="30"/>
  <c r="AM28" i="30"/>
  <c r="Z28" i="30"/>
  <c r="U29" i="30"/>
  <c r="AB28" i="30"/>
  <c r="AD41" i="30"/>
  <c r="AN42" i="30"/>
  <c r="AN43" i="30" s="1"/>
  <c r="AA42" i="30"/>
  <c r="AA43" i="30" s="1"/>
  <c r="I47" i="30"/>
  <c r="AP45" i="30"/>
  <c r="I45" i="30"/>
  <c r="AA54" i="30"/>
  <c r="AO54" i="30" s="1"/>
  <c r="Z54" i="30"/>
  <c r="K84" i="30"/>
  <c r="I12" i="30"/>
  <c r="N80" i="30"/>
  <c r="L85" i="30"/>
  <c r="U87" i="30"/>
  <c r="Z31" i="30"/>
  <c r="AM31" i="30"/>
  <c r="AB31" i="30"/>
  <c r="K40" i="30"/>
  <c r="I35" i="30"/>
  <c r="AR35" i="30"/>
  <c r="AR40" i="30" s="1"/>
  <c r="AK40" i="30"/>
  <c r="AP36" i="30"/>
  <c r="AP37" i="30"/>
  <c r="AO43" i="30"/>
  <c r="AR41" i="30"/>
  <c r="AR43" i="30" s="1"/>
  <c r="AN50" i="30"/>
  <c r="Z50" i="30"/>
  <c r="AR55" i="30"/>
  <c r="U92" i="30"/>
  <c r="AL41" i="30"/>
  <c r="L84" i="30"/>
  <c r="AR84" i="30"/>
  <c r="W80" i="30"/>
  <c r="AR14" i="30"/>
  <c r="AB18" i="30"/>
  <c r="AP18" i="30" s="1"/>
  <c r="AA19" i="30"/>
  <c r="AO19" i="30" s="1"/>
  <c r="I91" i="30"/>
  <c r="Z21" i="30"/>
  <c r="AD21" i="30" s="1"/>
  <c r="AL21" i="30" s="1"/>
  <c r="O27" i="30"/>
  <c r="U23" i="30"/>
  <c r="AA28" i="30"/>
  <c r="AA33" i="30"/>
  <c r="AO33" i="30" s="1"/>
  <c r="Z33" i="30"/>
  <c r="AM36" i="30"/>
  <c r="AB36" i="30"/>
  <c r="AA36" i="30"/>
  <c r="AD37" i="30"/>
  <c r="AO42" i="30"/>
  <c r="Z45" i="30"/>
  <c r="AR52" i="30"/>
  <c r="AA49" i="30"/>
  <c r="AO49" i="30" s="1"/>
  <c r="AO52" i="30" s="1"/>
  <c r="Z49" i="30"/>
  <c r="Z55" i="30"/>
  <c r="AB54" i="30"/>
  <c r="I26" i="30"/>
  <c r="O84" i="30"/>
  <c r="O14" i="30"/>
  <c r="I13" i="30"/>
  <c r="Q80" i="30"/>
  <c r="X80" i="30"/>
  <c r="Y85" i="30"/>
  <c r="AN17" i="30"/>
  <c r="Y22" i="30"/>
  <c r="AF85" i="30"/>
  <c r="AF22" i="30"/>
  <c r="AK19" i="30"/>
  <c r="AR19" i="30" s="1"/>
  <c r="AR85" i="30" s="1"/>
  <c r="O22" i="30"/>
  <c r="AB24" i="30"/>
  <c r="AP24" i="30" s="1"/>
  <c r="AA24" i="30"/>
  <c r="AO24" i="30" s="1"/>
  <c r="AR27" i="30"/>
  <c r="AM26" i="30"/>
  <c r="Z26" i="30"/>
  <c r="AB26" i="30"/>
  <c r="AP26" i="30" s="1"/>
  <c r="Y27" i="30"/>
  <c r="K92" i="30"/>
  <c r="I28" i="30"/>
  <c r="AK92" i="30"/>
  <c r="AR28" i="30"/>
  <c r="AK29" i="30"/>
  <c r="AO35" i="30"/>
  <c r="AO37" i="30"/>
  <c r="I38" i="30"/>
  <c r="AM57" i="30"/>
  <c r="AM59" i="30" s="1"/>
  <c r="AA57" i="30"/>
  <c r="AO57" i="30" s="1"/>
  <c r="Z57" i="30"/>
  <c r="AB57" i="30"/>
  <c r="AP57" i="30" s="1"/>
  <c r="U12" i="30"/>
  <c r="R80" i="30"/>
  <c r="L93" i="30"/>
  <c r="L16" i="30"/>
  <c r="AM19" i="30"/>
  <c r="AO21" i="30"/>
  <c r="AM25" i="30"/>
  <c r="AA25" i="30"/>
  <c r="AO25" i="30" s="1"/>
  <c r="Z25" i="30"/>
  <c r="AN29" i="30"/>
  <c r="K87" i="30"/>
  <c r="I31" i="30"/>
  <c r="AR31" i="30"/>
  <c r="AB33" i="30"/>
  <c r="AP33" i="30" s="1"/>
  <c r="U40" i="30"/>
  <c r="AB35" i="30"/>
  <c r="Z35" i="30"/>
  <c r="AM35" i="30"/>
  <c r="Z36" i="30"/>
  <c r="AL37" i="30"/>
  <c r="AM43" i="30"/>
  <c r="AA44" i="30"/>
  <c r="Z44" i="30"/>
  <c r="U47" i="30"/>
  <c r="I50" i="30"/>
  <c r="AM54" i="30"/>
  <c r="Y84" i="30"/>
  <c r="Y14" i="30"/>
  <c r="AN12" i="30"/>
  <c r="AA13" i="30"/>
  <c r="AO13" i="30" s="1"/>
  <c r="AM13" i="30"/>
  <c r="Z13" i="30"/>
  <c r="AD13" i="30" s="1"/>
  <c r="L14" i="30"/>
  <c r="AR16" i="30"/>
  <c r="AK22" i="30"/>
  <c r="O91" i="30"/>
  <c r="U20" i="30"/>
  <c r="AM21" i="30"/>
  <c r="I27" i="30"/>
  <c r="Z24" i="30"/>
  <c r="AA26" i="30"/>
  <c r="AO26" i="30" s="1"/>
  <c r="AQ29" i="30"/>
  <c r="AB32" i="30"/>
  <c r="AP32" i="30" s="1"/>
  <c r="AA32" i="30"/>
  <c r="AO32" i="30" s="1"/>
  <c r="AM32" i="30"/>
  <c r="AB39" i="30"/>
  <c r="AP39" i="30" s="1"/>
  <c r="Z39" i="30"/>
  <c r="AM39" i="30"/>
  <c r="AO39" i="30"/>
  <c r="Y43" i="30"/>
  <c r="Z42" i="30"/>
  <c r="AD42" i="30" s="1"/>
  <c r="AK47" i="30"/>
  <c r="AD51" i="30"/>
  <c r="AL51" i="30" s="1"/>
  <c r="U55" i="30"/>
  <c r="AG80" i="30"/>
  <c r="I15" i="30"/>
  <c r="O16" i="30"/>
  <c r="I19" i="30"/>
  <c r="I85" i="30" s="1"/>
  <c r="AK91" i="30"/>
  <c r="AQ91" i="30"/>
  <c r="K27" i="30"/>
  <c r="L29" i="30"/>
  <c r="I30" i="30"/>
  <c r="L87" i="30"/>
  <c r="AP31" i="30"/>
  <c r="I33" i="30"/>
  <c r="K34" i="30"/>
  <c r="I42" i="30"/>
  <c r="I43" i="30" s="1"/>
  <c r="L47" i="30"/>
  <c r="AP44" i="30"/>
  <c r="AP47" i="30" s="1"/>
  <c r="AA46" i="30"/>
  <c r="AO46" i="30" s="1"/>
  <c r="AM46" i="30"/>
  <c r="AB48" i="30"/>
  <c r="AB52" i="30" s="1"/>
  <c r="AB51" i="30"/>
  <c r="AP51" i="30" s="1"/>
  <c r="U52" i="30"/>
  <c r="AA53" i="30"/>
  <c r="AM53" i="30"/>
  <c r="AP54" i="30"/>
  <c r="AP56" i="30"/>
  <c r="AN76" i="30"/>
  <c r="AN87" i="30" s="1"/>
  <c r="AA76" i="30"/>
  <c r="J80" i="30"/>
  <c r="V80" i="30"/>
  <c r="AH80" i="30"/>
  <c r="K85" i="30"/>
  <c r="AR91" i="30"/>
  <c r="O87" i="30"/>
  <c r="AQ87" i="30"/>
  <c r="AK34" i="30"/>
  <c r="Y47" i="30"/>
  <c r="L52" i="30"/>
  <c r="AA50" i="30"/>
  <c r="AO50" i="30" s="1"/>
  <c r="AM50" i="30"/>
  <c r="AN53" i="30"/>
  <c r="AN55" i="30" s="1"/>
  <c r="Y55" i="30"/>
  <c r="AJ80" i="30"/>
  <c r="O85" i="30"/>
  <c r="K91" i="30"/>
  <c r="AN91" i="30"/>
  <c r="L40" i="30"/>
  <c r="AP35" i="30"/>
  <c r="AN47" i="30"/>
  <c r="AM48" i="30"/>
  <c r="AM52" i="30" s="1"/>
  <c r="AP49" i="30"/>
  <c r="AM51" i="30"/>
  <c r="AB55" i="30"/>
  <c r="Y59" i="30"/>
  <c r="AN56" i="30"/>
  <c r="AN59" i="30" s="1"/>
  <c r="AO61" i="30"/>
  <c r="AB72" i="30"/>
  <c r="AP72" i="30" s="1"/>
  <c r="AM72" i="30"/>
  <c r="AM74" i="30" s="1"/>
  <c r="AA72" i="30"/>
  <c r="AD72" i="30" s="1"/>
  <c r="AQ84" i="30"/>
  <c r="AQ83" i="30" s="1"/>
  <c r="M80" i="30"/>
  <c r="S80" i="30"/>
  <c r="AE80" i="30"/>
  <c r="AK14" i="30"/>
  <c r="AQ14" i="30"/>
  <c r="U15" i="30"/>
  <c r="AK16" i="30"/>
  <c r="AQ16" i="30"/>
  <c r="U17" i="30"/>
  <c r="AK85" i="30"/>
  <c r="AQ85" i="30"/>
  <c r="P85" i="30"/>
  <c r="L91" i="30"/>
  <c r="K22" i="30"/>
  <c r="K80" i="30" s="1"/>
  <c r="D16" i="47" s="1"/>
  <c r="U30" i="30"/>
  <c r="AR34" i="30"/>
  <c r="U38" i="30"/>
  <c r="L43" i="30"/>
  <c r="AP41" i="30"/>
  <c r="AP43" i="30" s="1"/>
  <c r="AB43" i="30"/>
  <c r="AA45" i="30"/>
  <c r="AO45" i="30" s="1"/>
  <c r="AM45" i="30"/>
  <c r="AM47" i="30" s="1"/>
  <c r="AP46" i="30"/>
  <c r="AN52" i="30"/>
  <c r="AB50" i="30"/>
  <c r="AP50" i="30" s="1"/>
  <c r="Y52" i="30"/>
  <c r="L55" i="30"/>
  <c r="AP53" i="30"/>
  <c r="Z56" i="30"/>
  <c r="AA69" i="30"/>
  <c r="AG83" i="30"/>
  <c r="Y87" i="30"/>
  <c r="O59" i="30"/>
  <c r="AF87" i="30"/>
  <c r="AF59" i="30"/>
  <c r="AK57" i="30"/>
  <c r="AR57" i="30" s="1"/>
  <c r="AR59" i="30" s="1"/>
  <c r="I68" i="30"/>
  <c r="AO68" i="30"/>
  <c r="I70" i="30"/>
  <c r="K74" i="30"/>
  <c r="AO70" i="30"/>
  <c r="I72" i="30"/>
  <c r="AO73" i="30"/>
  <c r="AN77" i="30"/>
  <c r="AA77" i="30"/>
  <c r="AO77" i="30" s="1"/>
  <c r="U59" i="30"/>
  <c r="AK59" i="30"/>
  <c r="P59" i="30"/>
  <c r="P80" i="30" s="1"/>
  <c r="P87" i="30"/>
  <c r="AB58" i="30"/>
  <c r="AP58" i="30" s="1"/>
  <c r="AA58" i="30"/>
  <c r="AO58" i="30" s="1"/>
  <c r="AM58" i="30"/>
  <c r="Z58" i="30"/>
  <c r="AM61" i="30"/>
  <c r="AA61" i="30"/>
  <c r="Z61" i="30"/>
  <c r="I64" i="30"/>
  <c r="AO64" i="30"/>
  <c r="AN74" i="30"/>
  <c r="AP78" i="30"/>
  <c r="I67" i="30"/>
  <c r="K69" i="30"/>
  <c r="AO67" i="30"/>
  <c r="I71" i="30"/>
  <c r="AO71" i="30"/>
  <c r="AA56" i="30"/>
  <c r="O62" i="30"/>
  <c r="U60" i="30"/>
  <c r="AB61" i="30"/>
  <c r="AP61" i="30" s="1"/>
  <c r="I63" i="30"/>
  <c r="K66" i="30"/>
  <c r="AO63" i="30"/>
  <c r="AO66" i="30" s="1"/>
  <c r="AR66" i="30"/>
  <c r="I65" i="30"/>
  <c r="AO65" i="30"/>
  <c r="AP71" i="30"/>
  <c r="AN73" i="30"/>
  <c r="AA73" i="30"/>
  <c r="Y79" i="30"/>
  <c r="AN75" i="30"/>
  <c r="AA75" i="30"/>
  <c r="AO76" i="30"/>
  <c r="K62" i="30"/>
  <c r="AB63" i="30"/>
  <c r="AB64" i="30"/>
  <c r="AP64" i="30" s="1"/>
  <c r="AB65" i="30"/>
  <c r="AP65" i="30" s="1"/>
  <c r="AB67" i="30"/>
  <c r="AB68" i="30"/>
  <c r="AP68" i="30" s="1"/>
  <c r="AB70" i="30"/>
  <c r="AB71" i="30"/>
  <c r="I73" i="30"/>
  <c r="Z73" i="30"/>
  <c r="AD73" i="30" s="1"/>
  <c r="U74" i="30"/>
  <c r="I75" i="30"/>
  <c r="Z75" i="30"/>
  <c r="AM75" i="30"/>
  <c r="I76" i="30"/>
  <c r="Z76" i="30"/>
  <c r="AD76" i="30" s="1"/>
  <c r="I77" i="30"/>
  <c r="Z77" i="30"/>
  <c r="AD77" i="30" s="1"/>
  <c r="I78" i="30"/>
  <c r="Z78" i="30"/>
  <c r="AM78" i="30"/>
  <c r="AR60" i="30"/>
  <c r="AR62" i="30" s="1"/>
  <c r="AP63" i="30"/>
  <c r="AP67" i="30"/>
  <c r="AP70" i="30"/>
  <c r="AA78" i="30"/>
  <c r="AO78" i="30" s="1"/>
  <c r="I58" i="30"/>
  <c r="I59" i="30" s="1"/>
  <c r="I60" i="30"/>
  <c r="AK66" i="30"/>
  <c r="AK69" i="30"/>
  <c r="AO75" i="30"/>
  <c r="AF62" i="30"/>
  <c r="AR70" i="30"/>
  <c r="AR74" i="30" s="1"/>
  <c r="AP75" i="30"/>
  <c r="Z63" i="30"/>
  <c r="AM63" i="30"/>
  <c r="AM66" i="30" s="1"/>
  <c r="Z64" i="30"/>
  <c r="AD64" i="30" s="1"/>
  <c r="Z65" i="30"/>
  <c r="Z67" i="30"/>
  <c r="AM67" i="30"/>
  <c r="AM69" i="30" s="1"/>
  <c r="Z68" i="30"/>
  <c r="AD68" i="30" s="1"/>
  <c r="Z70" i="30"/>
  <c r="Z71" i="30"/>
  <c r="AD71" i="30" s="1"/>
  <c r="Z27" i="29"/>
  <c r="AB24" i="29"/>
  <c r="AP24" i="29" s="1"/>
  <c r="AA24" i="29"/>
  <c r="AO24" i="29" s="1"/>
  <c r="AM24" i="29"/>
  <c r="Z24" i="29"/>
  <c r="AR19" i="29"/>
  <c r="Z33" i="29"/>
  <c r="L156" i="29"/>
  <c r="U20" i="29"/>
  <c r="Y33" i="29"/>
  <c r="AN31" i="29"/>
  <c r="AN33" i="29" s="1"/>
  <c r="Z32" i="29"/>
  <c r="U33" i="29"/>
  <c r="AB35" i="29"/>
  <c r="AP35" i="29" s="1"/>
  <c r="AA35" i="29"/>
  <c r="AO35" i="29" s="1"/>
  <c r="AA47" i="29"/>
  <c r="AO47" i="29" s="1"/>
  <c r="AB47" i="29"/>
  <c r="AP47" i="29" s="1"/>
  <c r="Z47" i="29"/>
  <c r="AB62" i="29"/>
  <c r="AM62" i="29"/>
  <c r="AA62" i="29"/>
  <c r="AO62" i="29" s="1"/>
  <c r="Z62" i="29"/>
  <c r="AD62" i="29" s="1"/>
  <c r="AL62" i="29" s="1"/>
  <c r="Y165" i="29"/>
  <c r="AN12" i="29"/>
  <c r="AC152" i="29"/>
  <c r="V15" i="47" s="1"/>
  <c r="O156" i="29"/>
  <c r="AK156" i="29"/>
  <c r="AR14" i="29"/>
  <c r="AN22" i="29"/>
  <c r="U23" i="29"/>
  <c r="I38" i="29"/>
  <c r="I39" i="29" s="1"/>
  <c r="L39" i="29"/>
  <c r="Y39" i="29"/>
  <c r="Z41" i="29"/>
  <c r="AM79" i="29"/>
  <c r="Z79" i="29"/>
  <c r="AB79" i="29"/>
  <c r="AP79" i="29" s="1"/>
  <c r="AA79" i="29"/>
  <c r="AP97" i="29"/>
  <c r="Y27" i="29"/>
  <c r="AN26" i="29"/>
  <c r="AN27" i="29" s="1"/>
  <c r="AB31" i="29"/>
  <c r="AA31" i="29"/>
  <c r="AB42" i="29"/>
  <c r="AP40" i="29"/>
  <c r="AP42" i="29" s="1"/>
  <c r="AB103" i="29"/>
  <c r="AP103" i="29" s="1"/>
  <c r="AA103" i="29"/>
  <c r="AO103" i="29" s="1"/>
  <c r="Z103" i="29"/>
  <c r="AM103" i="29"/>
  <c r="AQ156" i="29"/>
  <c r="AJ152" i="29"/>
  <c r="AC15" i="47" s="1"/>
  <c r="AQ13" i="29"/>
  <c r="AA14" i="29"/>
  <c r="I15" i="29"/>
  <c r="AQ16" i="29"/>
  <c r="I18" i="29"/>
  <c r="L19" i="29"/>
  <c r="AK19" i="29"/>
  <c r="AB21" i="29"/>
  <c r="AP21" i="29" s="1"/>
  <c r="AA21" i="29"/>
  <c r="AM21" i="29"/>
  <c r="Y25" i="29"/>
  <c r="AN23" i="29"/>
  <c r="AN25" i="29" s="1"/>
  <c r="AB29" i="29"/>
  <c r="AP29" i="29" s="1"/>
  <c r="AA29" i="29"/>
  <c r="AO29" i="29" s="1"/>
  <c r="Y36" i="29"/>
  <c r="AN34" i="29"/>
  <c r="AN36" i="29" s="1"/>
  <c r="Z35" i="29"/>
  <c r="AA38" i="29"/>
  <c r="AO38" i="29" s="1"/>
  <c r="AB38" i="29"/>
  <c r="AP38" i="29" s="1"/>
  <c r="Z38" i="29"/>
  <c r="AR40" i="29"/>
  <c r="AR42" i="29" s="1"/>
  <c r="AK48" i="29"/>
  <c r="AR47" i="29"/>
  <c r="AR48" i="29" s="1"/>
  <c r="I53" i="29"/>
  <c r="L64" i="29"/>
  <c r="AA65" i="29"/>
  <c r="AA66" i="29" s="1"/>
  <c r="AM65" i="29"/>
  <c r="AM66" i="29" s="1"/>
  <c r="AB65" i="29"/>
  <c r="AB66" i="29" s="1"/>
  <c r="Z65" i="29"/>
  <c r="U66" i="29"/>
  <c r="AA84" i="29"/>
  <c r="AO84" i="29" s="1"/>
  <c r="Z84" i="29"/>
  <c r="AM84" i="29"/>
  <c r="AB84" i="29"/>
  <c r="AP84" i="29" s="1"/>
  <c r="O110" i="29"/>
  <c r="U109" i="29"/>
  <c r="AR12" i="29"/>
  <c r="AR15" i="29"/>
  <c r="I47" i="29"/>
  <c r="L48" i="29"/>
  <c r="K157" i="29"/>
  <c r="I67" i="29"/>
  <c r="K71" i="29"/>
  <c r="U12" i="29"/>
  <c r="O13" i="29"/>
  <c r="U15" i="29"/>
  <c r="U18" i="29"/>
  <c r="I12" i="29"/>
  <c r="L13" i="29"/>
  <c r="R152" i="29"/>
  <c r="K15" i="47" s="1"/>
  <c r="X152" i="29"/>
  <c r="Q15" i="47" s="1"/>
  <c r="AE152" i="29"/>
  <c r="X15" i="47" s="1"/>
  <c r="AK13" i="29"/>
  <c r="Y156" i="29"/>
  <c r="AN14" i="29"/>
  <c r="AM14" i="29"/>
  <c r="L16" i="29"/>
  <c r="AM17" i="29"/>
  <c r="Y19" i="29"/>
  <c r="AR20" i="29"/>
  <c r="AR22" i="29" s="1"/>
  <c r="AB28" i="29"/>
  <c r="AA28" i="29"/>
  <c r="U43" i="29"/>
  <c r="AM47" i="29"/>
  <c r="AB51" i="29"/>
  <c r="AP49" i="29"/>
  <c r="U53" i="29"/>
  <c r="O54" i="29"/>
  <c r="L57" i="29"/>
  <c r="O64" i="29"/>
  <c r="U61" i="29"/>
  <c r="AM68" i="29"/>
  <c r="Z68" i="29"/>
  <c r="AB68" i="29"/>
  <c r="AP68" i="29" s="1"/>
  <c r="AA68" i="29"/>
  <c r="AO68" i="29" s="1"/>
  <c r="I14" i="29"/>
  <c r="AR23" i="29"/>
  <c r="AR25" i="29" s="1"/>
  <c r="AB26" i="29"/>
  <c r="AA26" i="29"/>
  <c r="AM26" i="29"/>
  <c r="AM27" i="29" s="1"/>
  <c r="Y30" i="29"/>
  <c r="AN28" i="29"/>
  <c r="AN30" i="29" s="1"/>
  <c r="Z29" i="29"/>
  <c r="Z30" i="29" s="1"/>
  <c r="U30" i="29"/>
  <c r="AM31" i="29"/>
  <c r="AM33" i="29" s="1"/>
  <c r="AB32" i="29"/>
  <c r="AP32" i="29" s="1"/>
  <c r="AA32" i="29"/>
  <c r="AO32" i="29" s="1"/>
  <c r="AK39" i="29"/>
  <c r="AR38" i="29"/>
  <c r="AR39" i="29" s="1"/>
  <c r="L54" i="29"/>
  <c r="U55" i="29"/>
  <c r="O57" i="29"/>
  <c r="AM58" i="29"/>
  <c r="AM60" i="29" s="1"/>
  <c r="Z58" i="29"/>
  <c r="AB58" i="29"/>
  <c r="AA58" i="29"/>
  <c r="AO104" i="29"/>
  <c r="I104" i="29"/>
  <c r="K105" i="29"/>
  <c r="J152" i="29"/>
  <c r="P152" i="29"/>
  <c r="V152" i="29"/>
  <c r="O42" i="29"/>
  <c r="AN45" i="29"/>
  <c r="O51" i="29"/>
  <c r="Y51" i="29"/>
  <c r="Z56" i="29"/>
  <c r="AA56" i="29"/>
  <c r="AO56" i="29" s="1"/>
  <c r="AQ64" i="29"/>
  <c r="AR65" i="29"/>
  <c r="AR66" i="29" s="1"/>
  <c r="AK66" i="29"/>
  <c r="AM70" i="29"/>
  <c r="Z70" i="29"/>
  <c r="AB70" i="29"/>
  <c r="AP70" i="29" s="1"/>
  <c r="AA70" i="29"/>
  <c r="U82" i="29"/>
  <c r="O86" i="29"/>
  <c r="I117" i="29"/>
  <c r="AA40" i="29"/>
  <c r="U42" i="29"/>
  <c r="AM40" i="29"/>
  <c r="AM42" i="29" s="1"/>
  <c r="I45" i="29"/>
  <c r="AA44" i="29"/>
  <c r="AO44" i="29" s="1"/>
  <c r="AM44" i="29"/>
  <c r="Y45" i="29"/>
  <c r="AA49" i="29"/>
  <c r="U51" i="29"/>
  <c r="AM49" i="29"/>
  <c r="AM51" i="29" s="1"/>
  <c r="I52" i="29"/>
  <c r="AD52" i="29"/>
  <c r="AO58" i="29"/>
  <c r="I58" i="29"/>
  <c r="AP59" i="29"/>
  <c r="I59" i="29"/>
  <c r="K60" i="29"/>
  <c r="O81" i="29"/>
  <c r="U77" i="29"/>
  <c r="L81" i="29"/>
  <c r="AB116" i="29"/>
  <c r="AP116" i="29" s="1"/>
  <c r="AM116" i="29"/>
  <c r="Z116" i="29"/>
  <c r="AA116" i="29"/>
  <c r="O39" i="29"/>
  <c r="AN42" i="29"/>
  <c r="O48" i="29"/>
  <c r="L51" i="29"/>
  <c r="AR58" i="29"/>
  <c r="AR60" i="29" s="1"/>
  <c r="AK60" i="29"/>
  <c r="L66" i="29"/>
  <c r="I65" i="29"/>
  <c r="I69" i="29"/>
  <c r="U76" i="29"/>
  <c r="AM72" i="29"/>
  <c r="Z72" i="29"/>
  <c r="AB72" i="29"/>
  <c r="AA72" i="29"/>
  <c r="Y81" i="29"/>
  <c r="AN77" i="29"/>
  <c r="AN81" i="29" s="1"/>
  <c r="U34" i="29"/>
  <c r="U37" i="29"/>
  <c r="I42" i="29"/>
  <c r="Z40" i="29"/>
  <c r="AA41" i="29"/>
  <c r="AO41" i="29" s="1"/>
  <c r="AM41" i="29"/>
  <c r="Y42" i="29"/>
  <c r="Z44" i="29"/>
  <c r="AD44" i="29" s="1"/>
  <c r="AL44" i="29" s="1"/>
  <c r="U46" i="29"/>
  <c r="I51" i="29"/>
  <c r="Z49" i="29"/>
  <c r="AA50" i="29"/>
  <c r="AO50" i="29" s="1"/>
  <c r="AB50" i="29"/>
  <c r="AP50" i="29" s="1"/>
  <c r="I56" i="29"/>
  <c r="AA59" i="29"/>
  <c r="AO59" i="29" s="1"/>
  <c r="Z59" i="29"/>
  <c r="AR61" i="29"/>
  <c r="AR64" i="29" s="1"/>
  <c r="AK64" i="29"/>
  <c r="AP62" i="29"/>
  <c r="AM73" i="29"/>
  <c r="Z73" i="29"/>
  <c r="AD73" i="29" s="1"/>
  <c r="AA73" i="29"/>
  <c r="I89" i="29"/>
  <c r="AO89" i="29"/>
  <c r="K91" i="29"/>
  <c r="AM96" i="29"/>
  <c r="AP93" i="29"/>
  <c r="I93" i="29"/>
  <c r="AQ57" i="29"/>
  <c r="O157" i="29"/>
  <c r="O71" i="29"/>
  <c r="U67" i="29"/>
  <c r="Y71" i="29"/>
  <c r="I73" i="29"/>
  <c r="AO73" i="29"/>
  <c r="K76" i="29"/>
  <c r="AM74" i="29"/>
  <c r="Z74" i="29"/>
  <c r="AB74" i="29"/>
  <c r="AP74" i="29" s="1"/>
  <c r="I84" i="29"/>
  <c r="AM85" i="29"/>
  <c r="Z85" i="29"/>
  <c r="AD85" i="29" s="1"/>
  <c r="AL85" i="29" s="1"/>
  <c r="AB85" i="29"/>
  <c r="AP85" i="29" s="1"/>
  <c r="L96" i="29"/>
  <c r="AR101" i="29"/>
  <c r="AM106" i="29"/>
  <c r="Z106" i="29"/>
  <c r="AA106" i="29"/>
  <c r="AB106" i="29"/>
  <c r="AP106" i="29" s="1"/>
  <c r="I115" i="29"/>
  <c r="I63" i="29"/>
  <c r="AM69" i="29"/>
  <c r="Z69" i="29"/>
  <c r="AA69" i="29"/>
  <c r="AO69" i="29" s="1"/>
  <c r="I75" i="29"/>
  <c r="AN86" i="29"/>
  <c r="I87" i="29"/>
  <c r="L91" i="29"/>
  <c r="AB95" i="29"/>
  <c r="AP95" i="29" s="1"/>
  <c r="AA95" i="29"/>
  <c r="Z95" i="29"/>
  <c r="AM95" i="29"/>
  <c r="AN101" i="29"/>
  <c r="AB100" i="29"/>
  <c r="AP100" i="29" s="1"/>
  <c r="U101" i="29"/>
  <c r="AA100" i="29"/>
  <c r="AO100" i="29" s="1"/>
  <c r="Z100" i="29"/>
  <c r="K64" i="29"/>
  <c r="I61" i="29"/>
  <c r="AB63" i="29"/>
  <c r="AP63" i="29" s="1"/>
  <c r="Z63" i="29"/>
  <c r="AD63" i="29" s="1"/>
  <c r="I68" i="29"/>
  <c r="L71" i="29"/>
  <c r="AB69" i="29"/>
  <c r="AP69" i="29" s="1"/>
  <c r="L163" i="29"/>
  <c r="AM75" i="29"/>
  <c r="Z75" i="29"/>
  <c r="AA75" i="29"/>
  <c r="AO75" i="29" s="1"/>
  <c r="Y91" i="29"/>
  <c r="AN87" i="29"/>
  <c r="AN91" i="29" s="1"/>
  <c r="AA87" i="29"/>
  <c r="AO87" i="29" s="1"/>
  <c r="Z87" i="29"/>
  <c r="AD90" i="29"/>
  <c r="AL90" i="29" s="1"/>
  <c r="Z98" i="29"/>
  <c r="AR105" i="29"/>
  <c r="AM107" i="29"/>
  <c r="Z107" i="29"/>
  <c r="AB107" i="29"/>
  <c r="AA107" i="29"/>
  <c r="AR57" i="29"/>
  <c r="L157" i="29"/>
  <c r="AN68" i="29"/>
  <c r="Y163" i="29"/>
  <c r="AN70" i="29"/>
  <c r="AN163" i="29" s="1"/>
  <c r="I72" i="29"/>
  <c r="AP72" i="29"/>
  <c r="I74" i="29"/>
  <c r="AK76" i="29"/>
  <c r="AO79" i="29"/>
  <c r="I82" i="29"/>
  <c r="I88" i="29"/>
  <c r="AA88" i="29"/>
  <c r="AB90" i="29"/>
  <c r="AP90" i="29" s="1"/>
  <c r="K96" i="29"/>
  <c r="AB92" i="29"/>
  <c r="AP92" i="29" s="1"/>
  <c r="AP96" i="29" s="1"/>
  <c r="AM93" i="29"/>
  <c r="Z93" i="29"/>
  <c r="AD93" i="29" s="1"/>
  <c r="I94" i="29"/>
  <c r="AP99" i="29"/>
  <c r="AB102" i="29"/>
  <c r="AB104" i="29"/>
  <c r="AP104" i="29" s="1"/>
  <c r="U105" i="29"/>
  <c r="AR119" i="29"/>
  <c r="AR123" i="29" s="1"/>
  <c r="AK123" i="29"/>
  <c r="K130" i="29"/>
  <c r="AO127" i="29"/>
  <c r="I127" i="29"/>
  <c r="AB128" i="29"/>
  <c r="AP128" i="29" s="1"/>
  <c r="Z128" i="29"/>
  <c r="AM128" i="29"/>
  <c r="AO129" i="29"/>
  <c r="I129" i="29"/>
  <c r="AA134" i="29"/>
  <c r="U138" i="29"/>
  <c r="AM134" i="29"/>
  <c r="Z134" i="29"/>
  <c r="AB134" i="29"/>
  <c r="O151" i="29"/>
  <c r="AQ157" i="29"/>
  <c r="AN73" i="29"/>
  <c r="AN76" i="29" s="1"/>
  <c r="AM78" i="29"/>
  <c r="Z78" i="29"/>
  <c r="AM80" i="29"/>
  <c r="Z80" i="29"/>
  <c r="AB88" i="29"/>
  <c r="AM89" i="29"/>
  <c r="Z89" i="29"/>
  <c r="AD89" i="29" s="1"/>
  <c r="AN93" i="29"/>
  <c r="AN96" i="29" s="1"/>
  <c r="L101" i="29"/>
  <c r="Y101" i="29"/>
  <c r="L105" i="29"/>
  <c r="I103" i="29"/>
  <c r="AR107" i="29"/>
  <c r="K164" i="29"/>
  <c r="K112" i="29"/>
  <c r="I111" i="29"/>
  <c r="AK164" i="29"/>
  <c r="AR111" i="29"/>
  <c r="AK112" i="29"/>
  <c r="O118" i="29"/>
  <c r="AR67" i="29"/>
  <c r="K163" i="29"/>
  <c r="I70" i="29"/>
  <c r="O76" i="29"/>
  <c r="AQ81" i="29"/>
  <c r="K81" i="29"/>
  <c r="AR96" i="29"/>
  <c r="AA94" i="29"/>
  <c r="AO94" i="29" s="1"/>
  <c r="AM97" i="29"/>
  <c r="AM101" i="29" s="1"/>
  <c r="Z97" i="29"/>
  <c r="I98" i="29"/>
  <c r="I101" i="29" s="1"/>
  <c r="I106" i="29"/>
  <c r="K110" i="29"/>
  <c r="I107" i="29"/>
  <c r="AO107" i="29"/>
  <c r="I108" i="29"/>
  <c r="AO108" i="29"/>
  <c r="AN164" i="29"/>
  <c r="AN112" i="29"/>
  <c r="AN118" i="29"/>
  <c r="AB115" i="29"/>
  <c r="AP115" i="29" s="1"/>
  <c r="AM115" i="29"/>
  <c r="Z115" i="29"/>
  <c r="Z118" i="29" s="1"/>
  <c r="AO116" i="29"/>
  <c r="I116" i="29"/>
  <c r="AB117" i="29"/>
  <c r="AP117" i="29" s="1"/>
  <c r="AM117" i="29"/>
  <c r="Z117" i="29"/>
  <c r="AB147" i="29"/>
  <c r="AP147" i="29" s="1"/>
  <c r="AM147" i="29"/>
  <c r="Z147" i="29"/>
  <c r="AA147" i="29"/>
  <c r="O91" i="29"/>
  <c r="U91" i="29"/>
  <c r="AO95" i="29"/>
  <c r="AM102" i="29"/>
  <c r="AM105" i="29" s="1"/>
  <c r="AP107" i="29"/>
  <c r="U111" i="29"/>
  <c r="O112" i="29"/>
  <c r="AB114" i="29"/>
  <c r="AP114" i="29" s="1"/>
  <c r="AA114" i="29"/>
  <c r="AO114" i="29" s="1"/>
  <c r="AB127" i="29"/>
  <c r="Z127" i="29"/>
  <c r="U130" i="29"/>
  <c r="AM127" i="29"/>
  <c r="AO128" i="29"/>
  <c r="I128" i="29"/>
  <c r="AB129" i="29"/>
  <c r="AP129" i="29" s="1"/>
  <c r="Z129" i="29"/>
  <c r="AM129" i="29"/>
  <c r="O163" i="29"/>
  <c r="AK163" i="29"/>
  <c r="AR70" i="29"/>
  <c r="AR163" i="29" s="1"/>
  <c r="AQ71" i="29"/>
  <c r="I78" i="29"/>
  <c r="AB78" i="29"/>
  <c r="AP78" i="29" s="1"/>
  <c r="I80" i="29"/>
  <c r="AB80" i="29"/>
  <c r="AP80" i="29" s="1"/>
  <c r="Y86" i="29"/>
  <c r="AB89" i="29"/>
  <c r="AP89" i="29" s="1"/>
  <c r="AM90" i="29"/>
  <c r="Z92" i="29"/>
  <c r="Z94" i="29"/>
  <c r="O96" i="29"/>
  <c r="AA97" i="29"/>
  <c r="AA98" i="29"/>
  <c r="AO98" i="29" s="1"/>
  <c r="AA99" i="29"/>
  <c r="AN102" i="29"/>
  <c r="AN105" i="29" s="1"/>
  <c r="Z104" i="29"/>
  <c r="AD104" i="29" s="1"/>
  <c r="AK108" i="29"/>
  <c r="AR108" i="29" s="1"/>
  <c r="AR110" i="29" s="1"/>
  <c r="L110" i="29"/>
  <c r="AA115" i="29"/>
  <c r="AO115" i="29" s="1"/>
  <c r="AA117" i="29"/>
  <c r="AO117" i="29" s="1"/>
  <c r="Y157" i="29"/>
  <c r="Y96" i="29"/>
  <c r="Z108" i="29"/>
  <c r="AD108" i="29" s="1"/>
  <c r="AM108" i="29"/>
  <c r="AR118" i="29"/>
  <c r="U118" i="29"/>
  <c r="Z119" i="29"/>
  <c r="Z120" i="29"/>
  <c r="Z121" i="29"/>
  <c r="Z122" i="29"/>
  <c r="K126" i="29"/>
  <c r="AA124" i="29"/>
  <c r="AA125" i="29"/>
  <c r="AO125" i="29" s="1"/>
  <c r="AK126" i="29"/>
  <c r="I132" i="29"/>
  <c r="AO132" i="29"/>
  <c r="AF159" i="29"/>
  <c r="AF145" i="29"/>
  <c r="AK143" i="29"/>
  <c r="AR143" i="29" s="1"/>
  <c r="AR159" i="29" s="1"/>
  <c r="AR146" i="29"/>
  <c r="AM113" i="29"/>
  <c r="K123" i="29"/>
  <c r="AA119" i="29"/>
  <c r="AO119" i="29" s="1"/>
  <c r="AO120" i="29"/>
  <c r="AA120" i="29"/>
  <c r="AA121" i="29"/>
  <c r="AO121" i="29" s="1"/>
  <c r="AA122" i="29"/>
  <c r="AO122" i="29" s="1"/>
  <c r="AN131" i="29"/>
  <c r="AN133" i="29" s="1"/>
  <c r="Y133" i="29"/>
  <c r="AP135" i="29"/>
  <c r="AP159" i="29" s="1"/>
  <c r="L159" i="29"/>
  <c r="AA140" i="29"/>
  <c r="AO140" i="29" s="1"/>
  <c r="AM140" i="29"/>
  <c r="Z140" i="29"/>
  <c r="AB140" i="29"/>
  <c r="I131" i="29"/>
  <c r="K133" i="29"/>
  <c r="AR131" i="29"/>
  <c r="AR133" i="29" s="1"/>
  <c r="AK133" i="29"/>
  <c r="AM132" i="29"/>
  <c r="Z132" i="29"/>
  <c r="AA132" i="29"/>
  <c r="AR140" i="29"/>
  <c r="AR141" i="29" s="1"/>
  <c r="AK141" i="29"/>
  <c r="AK145" i="29"/>
  <c r="K118" i="29"/>
  <c r="AO113" i="29"/>
  <c r="U126" i="29"/>
  <c r="L133" i="29"/>
  <c r="AP131" i="29"/>
  <c r="AK138" i="29"/>
  <c r="AR134" i="29"/>
  <c r="AR138" i="29" s="1"/>
  <c r="Y159" i="29"/>
  <c r="AN135" i="29"/>
  <c r="AN159" i="29" s="1"/>
  <c r="Y138" i="29"/>
  <c r="AA137" i="29"/>
  <c r="AO137" i="29" s="1"/>
  <c r="AM137" i="29"/>
  <c r="Z137" i="29"/>
  <c r="AB137" i="29"/>
  <c r="AP137" i="29" s="1"/>
  <c r="AM143" i="29"/>
  <c r="AA143" i="29"/>
  <c r="AO143" i="29" s="1"/>
  <c r="Z143" i="29"/>
  <c r="AB143" i="29"/>
  <c r="AP143" i="29" s="1"/>
  <c r="U159" i="29"/>
  <c r="AF157" i="29"/>
  <c r="AP132" i="29"/>
  <c r="I136" i="29"/>
  <c r="I139" i="29"/>
  <c r="K145" i="29"/>
  <c r="AN151" i="29"/>
  <c r="AO148" i="29"/>
  <c r="I148" i="29"/>
  <c r="AB149" i="29"/>
  <c r="AP149" i="29" s="1"/>
  <c r="Z149" i="29"/>
  <c r="Z150" i="29"/>
  <c r="U133" i="29"/>
  <c r="AM131" i="29"/>
  <c r="Z131" i="29"/>
  <c r="AP136" i="29"/>
  <c r="L141" i="29"/>
  <c r="AP142" i="29"/>
  <c r="AB144" i="29"/>
  <c r="AP144" i="29" s="1"/>
  <c r="AM144" i="29"/>
  <c r="Z144" i="29"/>
  <c r="AB146" i="29"/>
  <c r="AM146" i="29"/>
  <c r="Z146" i="29"/>
  <c r="AA131" i="29"/>
  <c r="AA133" i="29" s="1"/>
  <c r="L138" i="29"/>
  <c r="AP134" i="29"/>
  <c r="AA136" i="29"/>
  <c r="AO136" i="29" s="1"/>
  <c r="AM136" i="29"/>
  <c r="Z136" i="29"/>
  <c r="U145" i="29"/>
  <c r="AA142" i="29"/>
  <c r="AM142" i="29"/>
  <c r="Z142" i="29"/>
  <c r="AA144" i="29"/>
  <c r="AO144" i="29" s="1"/>
  <c r="Y145" i="29"/>
  <c r="AA146" i="29"/>
  <c r="AO147" i="29"/>
  <c r="I147" i="29"/>
  <c r="AB148" i="29"/>
  <c r="AP148" i="29" s="1"/>
  <c r="AM148" i="29"/>
  <c r="Z148" i="29"/>
  <c r="AO149" i="29"/>
  <c r="I149" i="29"/>
  <c r="AF151" i="29"/>
  <c r="AK149" i="29"/>
  <c r="AR149" i="29" s="1"/>
  <c r="AA135" i="29"/>
  <c r="AM135" i="29"/>
  <c r="Z135" i="29"/>
  <c r="Y141" i="29"/>
  <c r="I144" i="29"/>
  <c r="K151" i="29"/>
  <c r="AO146" i="29"/>
  <c r="AO151" i="29" s="1"/>
  <c r="I146" i="29"/>
  <c r="AB150" i="29"/>
  <c r="AP150" i="29" s="1"/>
  <c r="AA150" i="29"/>
  <c r="AO150" i="29" s="1"/>
  <c r="I135" i="29"/>
  <c r="I142" i="29"/>
  <c r="I143" i="29"/>
  <c r="U141" i="29" l="1"/>
  <c r="AD107" i="29"/>
  <c r="AA126" i="29"/>
  <c r="AP65" i="29"/>
  <c r="AP66" i="29" s="1"/>
  <c r="AD68" i="29"/>
  <c r="AD150" i="29"/>
  <c r="AL150" i="29" s="1"/>
  <c r="AO124" i="29"/>
  <c r="AO126" i="29" s="1"/>
  <c r="AM130" i="29"/>
  <c r="AN71" i="29"/>
  <c r="AD75" i="29"/>
  <c r="AB141" i="29"/>
  <c r="Z139" i="29"/>
  <c r="AF152" i="29"/>
  <c r="AM126" i="29"/>
  <c r="AM139" i="29"/>
  <c r="AM141" i="29" s="1"/>
  <c r="AD122" i="29"/>
  <c r="AL122" i="29" s="1"/>
  <c r="AD95" i="29"/>
  <c r="AL95" i="29" s="1"/>
  <c r="I118" i="29"/>
  <c r="AM123" i="29"/>
  <c r="AA139" i="29"/>
  <c r="I123" i="29"/>
  <c r="AD125" i="29"/>
  <c r="AL125" i="29" s="1"/>
  <c r="AM91" i="29"/>
  <c r="AD35" i="29"/>
  <c r="AL35" i="29" s="1"/>
  <c r="AD83" i="29"/>
  <c r="AL83" i="29" s="1"/>
  <c r="AA151" i="29"/>
  <c r="AD128" i="29"/>
  <c r="AA105" i="29"/>
  <c r="AN138" i="29"/>
  <c r="AM118" i="29"/>
  <c r="AD120" i="29"/>
  <c r="AL120" i="29" s="1"/>
  <c r="AL103" i="29"/>
  <c r="AD29" i="29"/>
  <c r="AL29" i="29" s="1"/>
  <c r="AD17" i="29"/>
  <c r="AL17" i="29" s="1"/>
  <c r="AL128" i="29"/>
  <c r="AD148" i="29"/>
  <c r="AB126" i="29"/>
  <c r="Y152" i="29"/>
  <c r="R15" i="47" s="1"/>
  <c r="AQ155" i="29"/>
  <c r="AP118" i="29"/>
  <c r="AR145" i="29"/>
  <c r="AK159" i="29"/>
  <c r="AD132" i="29"/>
  <c r="AL132" i="29" s="1"/>
  <c r="AK151" i="29"/>
  <c r="AD129" i="29"/>
  <c r="AD88" i="29"/>
  <c r="AL88" i="29" s="1"/>
  <c r="AD116" i="29"/>
  <c r="AL116" i="29" s="1"/>
  <c r="AD113" i="29"/>
  <c r="AL113" i="29" s="1"/>
  <c r="AP145" i="29"/>
  <c r="AD103" i="29"/>
  <c r="Y153" i="29"/>
  <c r="O153" i="29"/>
  <c r="O15" i="47"/>
  <c r="AD23" i="32"/>
  <c r="AD25" i="31"/>
  <c r="AL25" i="31" s="1"/>
  <c r="U59" i="31"/>
  <c r="AK59" i="31"/>
  <c r="Y17" i="47"/>
  <c r="AO72" i="30"/>
  <c r="AF80" i="30"/>
  <c r="AK81" i="30" s="1"/>
  <c r="AD61" i="30"/>
  <c r="AL61" i="30" s="1"/>
  <c r="P83" i="30"/>
  <c r="Y16" i="47"/>
  <c r="AF83" i="30"/>
  <c r="AK82" i="30" s="1"/>
  <c r="I16" i="47"/>
  <c r="U81" i="30"/>
  <c r="AK157" i="29"/>
  <c r="AO96" i="29"/>
  <c r="AD94" i="29"/>
  <c r="AD69" i="29"/>
  <c r="AL69" i="29" s="1"/>
  <c r="AK153" i="29"/>
  <c r="Y15" i="47"/>
  <c r="I15" i="47"/>
  <c r="AD67" i="32"/>
  <c r="AL67" i="32" s="1"/>
  <c r="AD76" i="32"/>
  <c r="AL76" i="32" s="1"/>
  <c r="AD82" i="32"/>
  <c r="AL82" i="32" s="1"/>
  <c r="AA154" i="32"/>
  <c r="AL107" i="32"/>
  <c r="AO231" i="32"/>
  <c r="AD45" i="32"/>
  <c r="AL45" i="32" s="1"/>
  <c r="I30" i="32"/>
  <c r="AP98" i="32"/>
  <c r="AD126" i="32"/>
  <c r="AL126" i="32" s="1"/>
  <c r="AM158" i="32"/>
  <c r="AA104" i="32"/>
  <c r="AD60" i="32"/>
  <c r="AM109" i="32"/>
  <c r="AD195" i="32"/>
  <c r="AL195" i="32" s="1"/>
  <c r="AD164" i="32"/>
  <c r="AL164" i="32" s="1"/>
  <c r="AO117" i="32"/>
  <c r="AD37" i="32"/>
  <c r="AL37" i="32" s="1"/>
  <c r="I47" i="32"/>
  <c r="AB20" i="32"/>
  <c r="AD141" i="32"/>
  <c r="AL141" i="32" s="1"/>
  <c r="AD220" i="32"/>
  <c r="AL220" i="32" s="1"/>
  <c r="AD194" i="32"/>
  <c r="AL194" i="32" s="1"/>
  <c r="AB139" i="32"/>
  <c r="AD113" i="32"/>
  <c r="AL113" i="32" s="1"/>
  <c r="AD99" i="32"/>
  <c r="AD26" i="32"/>
  <c r="Y227" i="32"/>
  <c r="AD96" i="32"/>
  <c r="AL96" i="32" s="1"/>
  <c r="AD200" i="32"/>
  <c r="AL200" i="32" s="1"/>
  <c r="AP192" i="32"/>
  <c r="P225" i="32"/>
  <c r="I18" i="47" s="1"/>
  <c r="AD127" i="32"/>
  <c r="AL127" i="32" s="1"/>
  <c r="AD65" i="32"/>
  <c r="AL65" i="32" s="1"/>
  <c r="AD177" i="32"/>
  <c r="AL177" i="32" s="1"/>
  <c r="AB189" i="32"/>
  <c r="AD185" i="32"/>
  <c r="AA166" i="32"/>
  <c r="AD51" i="32"/>
  <c r="AL51" i="32" s="1"/>
  <c r="AD160" i="32"/>
  <c r="AL160" i="32" s="1"/>
  <c r="Z100" i="32"/>
  <c r="AO202" i="32"/>
  <c r="AD156" i="32"/>
  <c r="AL156" i="32" s="1"/>
  <c r="AD122" i="32"/>
  <c r="AL122" i="32" s="1"/>
  <c r="AB72" i="32"/>
  <c r="AO119" i="32"/>
  <c r="X18" i="47"/>
  <c r="AD216" i="32"/>
  <c r="AD205" i="32"/>
  <c r="AL205" i="32" s="1"/>
  <c r="Z105" i="32"/>
  <c r="AA208" i="32"/>
  <c r="AO208" i="32" s="1"/>
  <c r="U212" i="32"/>
  <c r="AB208" i="32"/>
  <c r="AP208" i="32" s="1"/>
  <c r="Z208" i="32"/>
  <c r="AP167" i="32"/>
  <c r="AP168" i="32" s="1"/>
  <c r="AR232" i="32"/>
  <c r="AD201" i="32"/>
  <c r="AD56" i="32"/>
  <c r="AL56" i="32" s="1"/>
  <c r="U184" i="32"/>
  <c r="AB182" i="32"/>
  <c r="AD133" i="32"/>
  <c r="AM20" i="32"/>
  <c r="AD172" i="32"/>
  <c r="AL172" i="32" s="1"/>
  <c r="I176" i="32"/>
  <c r="AL133" i="32"/>
  <c r="AD163" i="32"/>
  <c r="AL163" i="32" s="1"/>
  <c r="AO101" i="32"/>
  <c r="AO104" i="32" s="1"/>
  <c r="AB158" i="32"/>
  <c r="AD111" i="32"/>
  <c r="AL111" i="32" s="1"/>
  <c r="AA72" i="32"/>
  <c r="AD71" i="32"/>
  <c r="AL71" i="32" s="1"/>
  <c r="AA105" i="32"/>
  <c r="AA68" i="32"/>
  <c r="AD62" i="32"/>
  <c r="AL62" i="32" s="1"/>
  <c r="AR229" i="32"/>
  <c r="AM30" i="32"/>
  <c r="AB24" i="32"/>
  <c r="AO18" i="32"/>
  <c r="AO20" i="32" s="1"/>
  <c r="AD215" i="32"/>
  <c r="AL215" i="32" s="1"/>
  <c r="AK176" i="32"/>
  <c r="AM139" i="32"/>
  <c r="AO209" i="32"/>
  <c r="AO212" i="32" s="1"/>
  <c r="AM134" i="32"/>
  <c r="AL102" i="32"/>
  <c r="AD106" i="32"/>
  <c r="AL106" i="32" s="1"/>
  <c r="AD91" i="32"/>
  <c r="AL91" i="32" s="1"/>
  <c r="AD108" i="32"/>
  <c r="AL108" i="32" s="1"/>
  <c r="AB105" i="32"/>
  <c r="AP105" i="32" s="1"/>
  <c r="AM72" i="32"/>
  <c r="I53" i="32"/>
  <c r="AF225" i="32"/>
  <c r="Y18" i="47" s="1"/>
  <c r="AD19" i="32"/>
  <c r="AL19" i="32" s="1"/>
  <c r="AP70" i="32"/>
  <c r="AP72" i="32" s="1"/>
  <c r="AB213" i="32"/>
  <c r="U217" i="32"/>
  <c r="AM213" i="32"/>
  <c r="AM217" i="32" s="1"/>
  <c r="AO68" i="32"/>
  <c r="AD14" i="32"/>
  <c r="AL14" i="32" s="1"/>
  <c r="AD144" i="32"/>
  <c r="AL144" i="32" s="1"/>
  <c r="AO99" i="32"/>
  <c r="AO100" i="32" s="1"/>
  <c r="AA24" i="32"/>
  <c r="I212" i="32"/>
  <c r="AM182" i="32"/>
  <c r="AM184" i="32" s="1"/>
  <c r="AA146" i="32"/>
  <c r="AD131" i="32"/>
  <c r="AL131" i="32" s="1"/>
  <c r="AD206" i="32"/>
  <c r="AL206" i="32" s="1"/>
  <c r="AM165" i="32"/>
  <c r="AB165" i="32"/>
  <c r="AP165" i="32" s="1"/>
  <c r="AB231" i="32"/>
  <c r="AP19" i="32"/>
  <c r="AP20" i="32" s="1"/>
  <c r="AK232" i="32"/>
  <c r="AD123" i="32"/>
  <c r="AL123" i="32" s="1"/>
  <c r="Y226" i="32"/>
  <c r="O18" i="47"/>
  <c r="O226" i="32"/>
  <c r="AM189" i="32"/>
  <c r="AA182" i="32"/>
  <c r="AO182" i="32" s="1"/>
  <c r="AO184" i="32" s="1"/>
  <c r="AA192" i="32"/>
  <c r="AD145" i="32"/>
  <c r="AO140" i="32"/>
  <c r="AO142" i="32" s="1"/>
  <c r="AD153" i="32"/>
  <c r="AL153" i="32" s="1"/>
  <c r="AB100" i="32"/>
  <c r="I20" i="32"/>
  <c r="Z16" i="32"/>
  <c r="AP36" i="32"/>
  <c r="K152" i="29"/>
  <c r="D15" i="47" s="1"/>
  <c r="K225" i="32"/>
  <c r="D18" i="47" s="1"/>
  <c r="L225" i="32"/>
  <c r="E18" i="47" s="1"/>
  <c r="C18" i="47"/>
  <c r="L58" i="31"/>
  <c r="E17" i="47" s="1"/>
  <c r="C17" i="47"/>
  <c r="C16" i="47"/>
  <c r="C15" i="47"/>
  <c r="AF228" i="32"/>
  <c r="AK227" i="32" s="1"/>
  <c r="O60" i="31"/>
  <c r="Y60" i="31"/>
  <c r="Y61" i="31"/>
  <c r="K61" i="31"/>
  <c r="AK60" i="31"/>
  <c r="K155" i="29"/>
  <c r="I192" i="32"/>
  <c r="Z184" i="32"/>
  <c r="AD182" i="32"/>
  <c r="I168" i="32"/>
  <c r="AM166" i="32"/>
  <c r="I232" i="32"/>
  <c r="U129" i="32"/>
  <c r="AB125" i="32"/>
  <c r="AA125" i="32"/>
  <c r="AM125" i="32"/>
  <c r="AM129" i="32" s="1"/>
  <c r="Z125" i="32"/>
  <c r="AR139" i="32"/>
  <c r="AO130" i="32"/>
  <c r="AO134" i="32" s="1"/>
  <c r="AA134" i="32"/>
  <c r="AB109" i="32"/>
  <c r="U238" i="32"/>
  <c r="AM12" i="32"/>
  <c r="Z12" i="32"/>
  <c r="U13" i="32"/>
  <c r="AB12" i="32"/>
  <c r="AA12" i="32"/>
  <c r="I229" i="32"/>
  <c r="I16" i="32"/>
  <c r="AB25" i="32"/>
  <c r="AA25" i="32"/>
  <c r="U27" i="32"/>
  <c r="Z25" i="32"/>
  <c r="AM25" i="32"/>
  <c r="AM27" i="32" s="1"/>
  <c r="Z24" i="32"/>
  <c r="AD21" i="32"/>
  <c r="U222" i="32"/>
  <c r="Z218" i="32"/>
  <c r="AB218" i="32"/>
  <c r="AA218" i="32"/>
  <c r="AM218" i="32"/>
  <c r="AM222" i="32" s="1"/>
  <c r="AD221" i="32"/>
  <c r="AL221" i="32" s="1"/>
  <c r="I224" i="32"/>
  <c r="I202" i="32"/>
  <c r="AD186" i="32"/>
  <c r="Z189" i="32"/>
  <c r="I181" i="32"/>
  <c r="I197" i="32"/>
  <c r="AA184" i="32"/>
  <c r="AN184" i="32"/>
  <c r="AD196" i="32"/>
  <c r="AL196" i="32" s="1"/>
  <c r="AA181" i="32"/>
  <c r="AD170" i="32"/>
  <c r="AL170" i="32" s="1"/>
  <c r="AD161" i="32"/>
  <c r="AL161" i="32" s="1"/>
  <c r="AP155" i="32"/>
  <c r="AP158" i="32" s="1"/>
  <c r="AD150" i="32"/>
  <c r="AL150" i="32" s="1"/>
  <c r="I158" i="32"/>
  <c r="AD214" i="32"/>
  <c r="AL214" i="32" s="1"/>
  <c r="AL185" i="32"/>
  <c r="I189" i="32"/>
  <c r="AO172" i="32"/>
  <c r="AM146" i="32"/>
  <c r="AA202" i="32"/>
  <c r="AD140" i="32"/>
  <c r="AR149" i="32"/>
  <c r="AR151" i="32" s="1"/>
  <c r="AK151" i="32"/>
  <c r="U232" i="32"/>
  <c r="AM94" i="32"/>
  <c r="Z94" i="32"/>
  <c r="Z97" i="32" s="1"/>
  <c r="AB94" i="32"/>
  <c r="AB97" i="32" s="1"/>
  <c r="AA94" i="32"/>
  <c r="AD155" i="32"/>
  <c r="Z158" i="32"/>
  <c r="AP140" i="32"/>
  <c r="AP142" i="32" s="1"/>
  <c r="AB142" i="32"/>
  <c r="I109" i="32"/>
  <c r="Z234" i="32"/>
  <c r="AD83" i="32"/>
  <c r="AL83" i="32" s="1"/>
  <c r="AL234" i="32" s="1"/>
  <c r="I231" i="32"/>
  <c r="AM110" i="32"/>
  <c r="AM114" i="32" s="1"/>
  <c r="Z110" i="32"/>
  <c r="AB110" i="32"/>
  <c r="U114" i="32"/>
  <c r="AA110" i="32"/>
  <c r="AA100" i="32"/>
  <c r="AO91" i="32"/>
  <c r="AO92" i="32" s="1"/>
  <c r="AP234" i="32"/>
  <c r="Z87" i="32"/>
  <c r="AD78" i="32"/>
  <c r="AL78" i="32" s="1"/>
  <c r="AD86" i="32"/>
  <c r="AL86" i="32" s="1"/>
  <c r="K228" i="32"/>
  <c r="AD46" i="32"/>
  <c r="AL46" i="32" s="1"/>
  <c r="AP24" i="32"/>
  <c r="L228" i="32"/>
  <c r="I92" i="32"/>
  <c r="AD75" i="32"/>
  <c r="AL75" i="32" s="1"/>
  <c r="I36" i="32"/>
  <c r="AL23" i="32"/>
  <c r="AR238" i="32"/>
  <c r="AR13" i="32"/>
  <c r="AB68" i="32"/>
  <c r="AL60" i="32"/>
  <c r="I24" i="32"/>
  <c r="AL21" i="32"/>
  <c r="Z39" i="32"/>
  <c r="AB39" i="32"/>
  <c r="AP39" i="32" s="1"/>
  <c r="AA39" i="32"/>
  <c r="AO39" i="32" s="1"/>
  <c r="AM39" i="32"/>
  <c r="AB32" i="32"/>
  <c r="AP32" i="32" s="1"/>
  <c r="AP33" i="32" s="1"/>
  <c r="AA32" i="32"/>
  <c r="Z32" i="32"/>
  <c r="AM32" i="32"/>
  <c r="AM33" i="32" s="1"/>
  <c r="AM16" i="32"/>
  <c r="AK24" i="32"/>
  <c r="AD57" i="32"/>
  <c r="AL57" i="32" s="1"/>
  <c r="AR87" i="32"/>
  <c r="AO146" i="32"/>
  <c r="AO158" i="32"/>
  <c r="I151" i="32"/>
  <c r="I171" i="32"/>
  <c r="AP104" i="32"/>
  <c r="AB234" i="32"/>
  <c r="I230" i="32"/>
  <c r="Z36" i="32"/>
  <c r="AD34" i="32"/>
  <c r="AD36" i="32" s="1"/>
  <c r="I27" i="32"/>
  <c r="AA234" i="32"/>
  <c r="P228" i="32"/>
  <c r="AN238" i="32"/>
  <c r="AN13" i="32"/>
  <c r="AA30" i="32"/>
  <c r="AO28" i="32"/>
  <c r="AO30" i="32" s="1"/>
  <c r="U207" i="32"/>
  <c r="AB203" i="32"/>
  <c r="AA203" i="32"/>
  <c r="AM203" i="32"/>
  <c r="AM207" i="32" s="1"/>
  <c r="Z203" i="32"/>
  <c r="AM212" i="32"/>
  <c r="AB223" i="32"/>
  <c r="AM223" i="32"/>
  <c r="AM224" i="32" s="1"/>
  <c r="Z223" i="32"/>
  <c r="U224" i="32"/>
  <c r="AA223" i="32"/>
  <c r="AB181" i="32"/>
  <c r="I207" i="32"/>
  <c r="AL186" i="32"/>
  <c r="AM154" i="32"/>
  <c r="AD188" i="32"/>
  <c r="AL188" i="32" s="1"/>
  <c r="AD165" i="32"/>
  <c r="AL165" i="32" s="1"/>
  <c r="AD175" i="32"/>
  <c r="AL175" i="32" s="1"/>
  <c r="AM171" i="32"/>
  <c r="AO153" i="32"/>
  <c r="AO154" i="32" s="1"/>
  <c r="AD149" i="32"/>
  <c r="AL149" i="32" s="1"/>
  <c r="AO189" i="32"/>
  <c r="AO167" i="32"/>
  <c r="AO168" i="32" s="1"/>
  <c r="AD120" i="32"/>
  <c r="Z146" i="32"/>
  <c r="AD143" i="32"/>
  <c r="AP119" i="32"/>
  <c r="AN232" i="32"/>
  <c r="AN97" i="32"/>
  <c r="AO163" i="32"/>
  <c r="AO166" i="32" s="1"/>
  <c r="AD132" i="32"/>
  <c r="AL132" i="32" s="1"/>
  <c r="AO128" i="32"/>
  <c r="AA158" i="32"/>
  <c r="AO120" i="32"/>
  <c r="AD179" i="32"/>
  <c r="AL179" i="32" s="1"/>
  <c r="I100" i="32"/>
  <c r="AL98" i="32"/>
  <c r="AN68" i="32"/>
  <c r="AB119" i="32"/>
  <c r="AP99" i="32"/>
  <c r="AP100" i="32" s="1"/>
  <c r="AM234" i="32"/>
  <c r="AN72" i="32"/>
  <c r="AP136" i="32"/>
  <c r="AP139" i="32" s="1"/>
  <c r="I124" i="32"/>
  <c r="AD101" i="32"/>
  <c r="Z104" i="32"/>
  <c r="AA231" i="32"/>
  <c r="U97" i="32"/>
  <c r="AM87" i="32"/>
  <c r="I97" i="32"/>
  <c r="Z231" i="32"/>
  <c r="AD80" i="32"/>
  <c r="AL80" i="32" s="1"/>
  <c r="AD70" i="32"/>
  <c r="AL70" i="32" s="1"/>
  <c r="AD74" i="32"/>
  <c r="AL74" i="32" s="1"/>
  <c r="AK229" i="32"/>
  <c r="I58" i="32"/>
  <c r="O225" i="32"/>
  <c r="AP92" i="32"/>
  <c r="AO69" i="32"/>
  <c r="AO72" i="32" s="1"/>
  <c r="AD55" i="32"/>
  <c r="AL55" i="32" s="1"/>
  <c r="U236" i="32"/>
  <c r="AM40" i="32"/>
  <c r="AM236" i="32" s="1"/>
  <c r="Z40" i="32"/>
  <c r="AA40" i="32"/>
  <c r="AB40" i="32"/>
  <c r="AO21" i="32"/>
  <c r="AO24" i="32" s="1"/>
  <c r="AL216" i="32"/>
  <c r="AM54" i="32"/>
  <c r="AM58" i="32" s="1"/>
  <c r="Z54" i="32"/>
  <c r="U58" i="32"/>
  <c r="AA54" i="32"/>
  <c r="AB54" i="32"/>
  <c r="AO14" i="32"/>
  <c r="AA16" i="32"/>
  <c r="Z68" i="32"/>
  <c r="AD64" i="32"/>
  <c r="AD68" i="32" s="1"/>
  <c r="U63" i="32"/>
  <c r="AB59" i="32"/>
  <c r="AA59" i="32"/>
  <c r="Z59" i="32"/>
  <c r="AM59" i="32"/>
  <c r="AM63" i="32" s="1"/>
  <c r="Y225" i="32"/>
  <c r="R18" i="47" s="1"/>
  <c r="AP62" i="32"/>
  <c r="Z44" i="32"/>
  <c r="AB44" i="32"/>
  <c r="AP44" i="32" s="1"/>
  <c r="AA44" i="32"/>
  <c r="AO44" i="32" s="1"/>
  <c r="AM44" i="32"/>
  <c r="AN230" i="32"/>
  <c r="AN229" i="32"/>
  <c r="AN16" i="32"/>
  <c r="AD28" i="32"/>
  <c r="Z30" i="32"/>
  <c r="I217" i="32"/>
  <c r="AP181" i="32"/>
  <c r="AB212" i="32"/>
  <c r="AP209" i="32"/>
  <c r="AP212" i="32" s="1"/>
  <c r="U197" i="32"/>
  <c r="AB193" i="32"/>
  <c r="Z193" i="32"/>
  <c r="AM193" i="32"/>
  <c r="AM197" i="32" s="1"/>
  <c r="AA193" i="32"/>
  <c r="AD178" i="32"/>
  <c r="AD181" i="32" s="1"/>
  <c r="Z181" i="32"/>
  <c r="AO171" i="32"/>
  <c r="I166" i="32"/>
  <c r="AA147" i="32"/>
  <c r="AM147" i="32"/>
  <c r="AM151" i="32" s="1"/>
  <c r="U151" i="32"/>
  <c r="AB147" i="32"/>
  <c r="Z147" i="32"/>
  <c r="AO190" i="32"/>
  <c r="AO192" i="32" s="1"/>
  <c r="Z171" i="32"/>
  <c r="AD169" i="32"/>
  <c r="AD171" i="32" s="1"/>
  <c r="Z134" i="32"/>
  <c r="AD130" i="32"/>
  <c r="AD157" i="32"/>
  <c r="AL157" i="32" s="1"/>
  <c r="I139" i="32"/>
  <c r="AA121" i="32"/>
  <c r="AO121" i="32" s="1"/>
  <c r="AM121" i="32"/>
  <c r="AM124" i="32" s="1"/>
  <c r="Z121" i="32"/>
  <c r="Z124" i="32" s="1"/>
  <c r="AB121" i="32"/>
  <c r="AA189" i="32"/>
  <c r="I116" i="32"/>
  <c r="AL99" i="32"/>
  <c r="AN237" i="32"/>
  <c r="AN89" i="32"/>
  <c r="AK230" i="32"/>
  <c r="AP115" i="32"/>
  <c r="AP116" i="32" s="1"/>
  <c r="AD79" i="32"/>
  <c r="AL79" i="32" s="1"/>
  <c r="Z72" i="32"/>
  <c r="AD69" i="32"/>
  <c r="AO78" i="32"/>
  <c r="AO87" i="32" s="1"/>
  <c r="AA87" i="32"/>
  <c r="I104" i="32"/>
  <c r="I234" i="32"/>
  <c r="AM231" i="32"/>
  <c r="O228" i="32"/>
  <c r="AN236" i="32"/>
  <c r="U53" i="32"/>
  <c r="AB48" i="32"/>
  <c r="AA48" i="32"/>
  <c r="Z48" i="32"/>
  <c r="AM48" i="32"/>
  <c r="AM53" i="32" s="1"/>
  <c r="AB16" i="32"/>
  <c r="U229" i="32"/>
  <c r="AM68" i="32"/>
  <c r="AP42" i="32"/>
  <c r="AB33" i="32"/>
  <c r="Y228" i="32"/>
  <c r="AK119" i="32"/>
  <c r="I41" i="32"/>
  <c r="AB30" i="32"/>
  <c r="AP28" i="32"/>
  <c r="AP30" i="32" s="1"/>
  <c r="AP199" i="32"/>
  <c r="AP202" i="32" s="1"/>
  <c r="AB202" i="32"/>
  <c r="AL180" i="32"/>
  <c r="AD100" i="32"/>
  <c r="AA139" i="32"/>
  <c r="AO135" i="32"/>
  <c r="AO139" i="32" s="1"/>
  <c r="I68" i="32"/>
  <c r="Z217" i="32"/>
  <c r="AD213" i="32"/>
  <c r="AL213" i="32" s="1"/>
  <c r="AM202" i="32"/>
  <c r="AD204" i="32"/>
  <c r="AL204" i="32" s="1"/>
  <c r="AA217" i="32"/>
  <c r="AR166" i="32"/>
  <c r="AP185" i="32"/>
  <c r="AP189" i="32" s="1"/>
  <c r="I134" i="32"/>
  <c r="AB173" i="32"/>
  <c r="AP173" i="32" s="1"/>
  <c r="Z173" i="32"/>
  <c r="AM173" i="32"/>
  <c r="AA173" i="32"/>
  <c r="AO173" i="32" s="1"/>
  <c r="Z168" i="32"/>
  <c r="AD167" i="32"/>
  <c r="AD168" i="32" s="1"/>
  <c r="AP162" i="32"/>
  <c r="AD187" i="32"/>
  <c r="AL187" i="32" s="1"/>
  <c r="AB166" i="32"/>
  <c r="AP159" i="32"/>
  <c r="AD135" i="32"/>
  <c r="AL135" i="32" s="1"/>
  <c r="Z139" i="32"/>
  <c r="AD137" i="32"/>
  <c r="AL137" i="32" s="1"/>
  <c r="AP130" i="32"/>
  <c r="AP134" i="32" s="1"/>
  <c r="U124" i="32"/>
  <c r="AB146" i="32"/>
  <c r="AP143" i="32"/>
  <c r="AP146" i="32" s="1"/>
  <c r="Z92" i="32"/>
  <c r="AD90" i="32"/>
  <c r="AD92" i="32" s="1"/>
  <c r="AD148" i="32"/>
  <c r="AP93" i="32"/>
  <c r="U237" i="32"/>
  <c r="AB88" i="32"/>
  <c r="AA88" i="32"/>
  <c r="Z88" i="32"/>
  <c r="U89" i="32"/>
  <c r="AM88" i="32"/>
  <c r="AL145" i="32"/>
  <c r="AD95" i="32"/>
  <c r="AL95" i="32" s="1"/>
  <c r="AD85" i="32"/>
  <c r="AL85" i="32" s="1"/>
  <c r="AO113" i="32"/>
  <c r="AB104" i="32"/>
  <c r="AD93" i="32"/>
  <c r="AD84" i="32"/>
  <c r="AL84" i="32" s="1"/>
  <c r="U77" i="32"/>
  <c r="AA73" i="32"/>
  <c r="Z73" i="32"/>
  <c r="AM73" i="32"/>
  <c r="AM77" i="32" s="1"/>
  <c r="AB73" i="32"/>
  <c r="AD115" i="32"/>
  <c r="AD116" i="32" s="1"/>
  <c r="Z109" i="32"/>
  <c r="AD105" i="32"/>
  <c r="AD50" i="32"/>
  <c r="AL50" i="32" s="1"/>
  <c r="AM43" i="32"/>
  <c r="Z43" i="32"/>
  <c r="AB43" i="32"/>
  <c r="AP43" i="32" s="1"/>
  <c r="AA43" i="32"/>
  <c r="I72" i="32"/>
  <c r="AL69" i="32"/>
  <c r="AD31" i="32"/>
  <c r="I238" i="32"/>
  <c r="I13" i="32"/>
  <c r="AN41" i="32"/>
  <c r="I77" i="32"/>
  <c r="AD81" i="32"/>
  <c r="AL81" i="32" s="1"/>
  <c r="AR41" i="32"/>
  <c r="AP14" i="32"/>
  <c r="AO217" i="32"/>
  <c r="Z202" i="32"/>
  <c r="AD198" i="32"/>
  <c r="AD202" i="32" s="1"/>
  <c r="AD211" i="32"/>
  <c r="AL211" i="32" s="1"/>
  <c r="AD219" i="32"/>
  <c r="AL219" i="32" s="1"/>
  <c r="AL201" i="32"/>
  <c r="AD210" i="32"/>
  <c r="AL210" i="32" s="1"/>
  <c r="I222" i="32"/>
  <c r="AD199" i="32"/>
  <c r="AL199" i="32" s="1"/>
  <c r="AN217" i="32"/>
  <c r="AD209" i="32"/>
  <c r="AL209" i="32" s="1"/>
  <c r="Z212" i="32"/>
  <c r="AO181" i="32"/>
  <c r="AK166" i="32"/>
  <c r="Z192" i="32"/>
  <c r="AD190" i="32"/>
  <c r="AD192" i="32" s="1"/>
  <c r="AM181" i="32"/>
  <c r="AD183" i="32"/>
  <c r="AL183" i="32" s="1"/>
  <c r="AL148" i="32"/>
  <c r="AD180" i="32"/>
  <c r="AA171" i="32"/>
  <c r="AB174" i="32"/>
  <c r="AP174" i="32" s="1"/>
  <c r="AA174" i="32"/>
  <c r="AO174" i="32" s="1"/>
  <c r="AM174" i="32"/>
  <c r="Z174" i="32"/>
  <c r="Z166" i="32"/>
  <c r="AD159" i="32"/>
  <c r="AD118" i="32"/>
  <c r="AL118" i="32" s="1"/>
  <c r="I146" i="32"/>
  <c r="I237" i="32"/>
  <c r="AD136" i="32"/>
  <c r="AL136" i="32" s="1"/>
  <c r="AD152" i="32"/>
  <c r="I119" i="32"/>
  <c r="AP106" i="32"/>
  <c r="AR236" i="32"/>
  <c r="Z119" i="32"/>
  <c r="AD117" i="32"/>
  <c r="AD119" i="32" s="1"/>
  <c r="AD112" i="32"/>
  <c r="AL112" i="32" s="1"/>
  <c r="AB87" i="32"/>
  <c r="AP78" i="32"/>
  <c r="AP87" i="32" s="1"/>
  <c r="AD103" i="32"/>
  <c r="AL103" i="32" s="1"/>
  <c r="AA92" i="32"/>
  <c r="I87" i="32"/>
  <c r="AP68" i="32"/>
  <c r="AL49" i="32"/>
  <c r="AD17" i="32"/>
  <c r="Z20" i="32"/>
  <c r="AD52" i="32"/>
  <c r="AL52" i="32" s="1"/>
  <c r="AO234" i="32"/>
  <c r="AR61" i="32"/>
  <c r="AR63" i="32" s="1"/>
  <c r="AK63" i="32"/>
  <c r="I236" i="32"/>
  <c r="AL26" i="32"/>
  <c r="AM24" i="32"/>
  <c r="AD18" i="32"/>
  <c r="AL18" i="32" s="1"/>
  <c r="U230" i="32"/>
  <c r="AM38" i="32"/>
  <c r="Z38" i="32"/>
  <c r="AB38" i="32"/>
  <c r="AB41" i="32" s="1"/>
  <c r="AA38" i="32"/>
  <c r="AA41" i="32" s="1"/>
  <c r="U41" i="32"/>
  <c r="AD15" i="32"/>
  <c r="AL15" i="32" s="1"/>
  <c r="AD29" i="32"/>
  <c r="AL29" i="32" s="1"/>
  <c r="AD22" i="32"/>
  <c r="AL22" i="32" s="1"/>
  <c r="AP55" i="31"/>
  <c r="AP57" i="31" s="1"/>
  <c r="I14" i="31"/>
  <c r="AL12" i="31"/>
  <c r="AN63" i="31"/>
  <c r="AN27" i="31"/>
  <c r="AD14" i="31"/>
  <c r="AO14" i="31"/>
  <c r="AD54" i="31"/>
  <c r="Z57" i="31"/>
  <c r="AL33" i="31"/>
  <c r="I34" i="31"/>
  <c r="AN62" i="31"/>
  <c r="AM70" i="31"/>
  <c r="AM34" i="31"/>
  <c r="AQ58" i="31"/>
  <c r="AO38" i="31"/>
  <c r="AP71" i="31"/>
  <c r="AP22" i="31"/>
  <c r="O61" i="31"/>
  <c r="U60" i="31" s="1"/>
  <c r="AL48" i="31"/>
  <c r="AA71" i="31"/>
  <c r="AA22" i="31"/>
  <c r="L61" i="31"/>
  <c r="AB62" i="31"/>
  <c r="AO24" i="31"/>
  <c r="I20" i="31"/>
  <c r="Z63" i="31"/>
  <c r="AD23" i="31"/>
  <c r="AM57" i="31"/>
  <c r="AL49" i="31"/>
  <c r="Z71" i="31"/>
  <c r="AD21" i="31"/>
  <c r="Z22" i="31"/>
  <c r="AB70" i="31"/>
  <c r="AP33" i="31"/>
  <c r="AB34" i="31"/>
  <c r="U69" i="31"/>
  <c r="U61" i="31" s="1"/>
  <c r="Z60" i="31" s="1"/>
  <c r="AM26" i="31"/>
  <c r="AM69" i="31" s="1"/>
  <c r="Z26" i="31"/>
  <c r="Z27" i="31" s="1"/>
  <c r="AB26" i="31"/>
  <c r="AA26" i="31"/>
  <c r="AA27" i="31" s="1"/>
  <c r="AM65" i="31"/>
  <c r="I22" i="31"/>
  <c r="AB39" i="31"/>
  <c r="AD40" i="31"/>
  <c r="AA42" i="31"/>
  <c r="AO70" i="31"/>
  <c r="AO34" i="31"/>
  <c r="I27" i="31"/>
  <c r="AD37" i="31"/>
  <c r="AD33" i="31"/>
  <c r="AP14" i="31"/>
  <c r="I57" i="31"/>
  <c r="AL54" i="31"/>
  <c r="U46" i="31"/>
  <c r="AB43" i="31"/>
  <c r="AA43" i="31"/>
  <c r="Z43" i="31"/>
  <c r="AM43" i="31"/>
  <c r="AM46" i="31" s="1"/>
  <c r="AD56" i="31"/>
  <c r="AL56" i="31" s="1"/>
  <c r="AL44" i="31"/>
  <c r="AR39" i="31"/>
  <c r="AM71" i="31"/>
  <c r="AM22" i="31"/>
  <c r="AN71" i="31"/>
  <c r="AN22" i="31"/>
  <c r="AN58" i="31" s="1"/>
  <c r="AR71" i="31"/>
  <c r="AR22" i="31"/>
  <c r="AR62" i="31"/>
  <c r="AR14" i="31"/>
  <c r="AB65" i="31"/>
  <c r="AR63" i="31"/>
  <c r="AR27" i="31"/>
  <c r="AA53" i="31"/>
  <c r="AO52" i="31"/>
  <c r="AO53" i="31" s="1"/>
  <c r="U51" i="31"/>
  <c r="AM47" i="31"/>
  <c r="Z47" i="31"/>
  <c r="AB47" i="31"/>
  <c r="AA47" i="31"/>
  <c r="AB42" i="31"/>
  <c r="AP40" i="31"/>
  <c r="AP42" i="31" s="1"/>
  <c r="AM32" i="31"/>
  <c r="AO71" i="31"/>
  <c r="AO22" i="31"/>
  <c r="AP32" i="31"/>
  <c r="AR34" i="31"/>
  <c r="AR70" i="31"/>
  <c r="AA57" i="31"/>
  <c r="AO54" i="31"/>
  <c r="AO57" i="31" s="1"/>
  <c r="AO41" i="31"/>
  <c r="AO42" i="31" s="1"/>
  <c r="AO20" i="31"/>
  <c r="AA39" i="31"/>
  <c r="AO28" i="31"/>
  <c r="AO32" i="31" s="1"/>
  <c r="Y58" i="31"/>
  <c r="AP39" i="31"/>
  <c r="I32" i="31"/>
  <c r="AL28" i="31"/>
  <c r="AL32" i="31" s="1"/>
  <c r="AK27" i="31"/>
  <c r="AK58" i="31" s="1"/>
  <c r="AD17" i="47" s="1"/>
  <c r="Z32" i="31"/>
  <c r="AD28" i="31"/>
  <c r="AD32" i="31" s="1"/>
  <c r="K58" i="31"/>
  <c r="D17" i="47" s="1"/>
  <c r="AD31" i="31"/>
  <c r="AL31" i="31" s="1"/>
  <c r="AD19" i="31"/>
  <c r="AP19" i="31"/>
  <c r="AP20" i="31" s="1"/>
  <c r="AO65" i="31"/>
  <c r="AD52" i="31"/>
  <c r="Z53" i="31"/>
  <c r="AD55" i="31"/>
  <c r="AL55" i="31" s="1"/>
  <c r="AA65" i="31"/>
  <c r="U27" i="31"/>
  <c r="U58" i="31" s="1"/>
  <c r="Z65" i="31"/>
  <c r="AM39" i="31"/>
  <c r="AO35" i="31"/>
  <c r="AO39" i="31" s="1"/>
  <c r="AB32" i="31"/>
  <c r="AQ61" i="31"/>
  <c r="Z39" i="31"/>
  <c r="AD35" i="31"/>
  <c r="AK63" i="31"/>
  <c r="AK61" i="31" s="1"/>
  <c r="AD20" i="31"/>
  <c r="I46" i="31"/>
  <c r="AO17" i="31"/>
  <c r="AD24" i="31"/>
  <c r="AL24" i="31" s="1"/>
  <c r="Z20" i="31"/>
  <c r="I79" i="30"/>
  <c r="Z59" i="30"/>
  <c r="AD56" i="30"/>
  <c r="AA87" i="30"/>
  <c r="AA92" i="30"/>
  <c r="AA29" i="30"/>
  <c r="K83" i="30"/>
  <c r="Z43" i="30"/>
  <c r="AP79" i="30"/>
  <c r="I62" i="30"/>
  <c r="AL77" i="30"/>
  <c r="AB69" i="30"/>
  <c r="AA79" i="30"/>
  <c r="AL71" i="30"/>
  <c r="I74" i="30"/>
  <c r="AB38" i="30"/>
  <c r="AP38" i="30" s="1"/>
  <c r="Z38" i="30"/>
  <c r="Z40" i="30" s="1"/>
  <c r="AM38" i="30"/>
  <c r="AM40" i="30" s="1"/>
  <c r="AA38" i="30"/>
  <c r="AO38" i="30" s="1"/>
  <c r="AA74" i="30"/>
  <c r="AM55" i="30"/>
  <c r="AL33" i="30"/>
  <c r="AB59" i="30"/>
  <c r="AD24" i="30"/>
  <c r="AL24" i="30" s="1"/>
  <c r="AD36" i="30"/>
  <c r="AL36" i="30" s="1"/>
  <c r="AD25" i="30"/>
  <c r="AL25" i="30" s="1"/>
  <c r="AR22" i="30"/>
  <c r="L83" i="30"/>
  <c r="AD50" i="30"/>
  <c r="AB87" i="30"/>
  <c r="AD43" i="30"/>
  <c r="AB92" i="30"/>
  <c r="AB29" i="30"/>
  <c r="AP28" i="30"/>
  <c r="Z69" i="30"/>
  <c r="AD67" i="30"/>
  <c r="AD69" i="30" s="1"/>
  <c r="AL58" i="30"/>
  <c r="AN79" i="30"/>
  <c r="U62" i="30"/>
  <c r="AB60" i="30"/>
  <c r="AA60" i="30"/>
  <c r="AM60" i="30"/>
  <c r="AM62" i="30" s="1"/>
  <c r="Z60" i="30"/>
  <c r="AP55" i="30"/>
  <c r="U93" i="30"/>
  <c r="AA15" i="30"/>
  <c r="U16" i="30"/>
  <c r="AM15" i="30"/>
  <c r="Z15" i="30"/>
  <c r="AB15" i="30"/>
  <c r="AA55" i="30"/>
  <c r="AO53" i="30"/>
  <c r="AO55" i="30" s="1"/>
  <c r="AP87" i="30"/>
  <c r="AN84" i="30"/>
  <c r="AN14" i="30"/>
  <c r="AR87" i="30"/>
  <c r="AR92" i="30"/>
  <c r="AR29" i="30"/>
  <c r="AL13" i="30"/>
  <c r="AD46" i="30"/>
  <c r="AL46" i="30" s="1"/>
  <c r="U27" i="30"/>
  <c r="AB23" i="30"/>
  <c r="AA23" i="30"/>
  <c r="Z23" i="30"/>
  <c r="AM23" i="30"/>
  <c r="AM27" i="30" s="1"/>
  <c r="AM87" i="30"/>
  <c r="AO36" i="30"/>
  <c r="Z66" i="30"/>
  <c r="AD63" i="30"/>
  <c r="AD65" i="30"/>
  <c r="AL65" i="30" s="1"/>
  <c r="AL76" i="30"/>
  <c r="AL73" i="30"/>
  <c r="AO69" i="30"/>
  <c r="AD58" i="30"/>
  <c r="AL68" i="30"/>
  <c r="AQ80" i="30"/>
  <c r="AA52" i="30"/>
  <c r="AL19" i="30"/>
  <c r="Y80" i="30"/>
  <c r="AD44" i="30"/>
  <c r="Z47" i="30"/>
  <c r="AD35" i="30"/>
  <c r="AL35" i="30" s="1"/>
  <c r="AK87" i="30"/>
  <c r="AK83" i="30" s="1"/>
  <c r="AD57" i="30"/>
  <c r="AL57" i="30" s="1"/>
  <c r="AD26" i="30"/>
  <c r="AL26" i="30" s="1"/>
  <c r="AD45" i="30"/>
  <c r="AL45" i="30" s="1"/>
  <c r="AD33" i="30"/>
  <c r="AD48" i="30"/>
  <c r="Z87" i="30"/>
  <c r="AD31" i="30"/>
  <c r="Z92" i="30"/>
  <c r="Z29" i="30"/>
  <c r="AD28" i="30"/>
  <c r="AD19" i="30"/>
  <c r="AN93" i="30"/>
  <c r="AN16" i="30"/>
  <c r="AP66" i="30"/>
  <c r="AL50" i="30"/>
  <c r="U84" i="30"/>
  <c r="U14" i="30"/>
  <c r="AM12" i="30"/>
  <c r="Z12" i="30"/>
  <c r="AB12" i="30"/>
  <c r="AA12" i="30"/>
  <c r="AO79" i="30"/>
  <c r="AP74" i="30"/>
  <c r="AD78" i="30"/>
  <c r="AL78" i="30" s="1"/>
  <c r="AM79" i="30"/>
  <c r="AB66" i="30"/>
  <c r="AA59" i="30"/>
  <c r="AO56" i="30"/>
  <c r="AO59" i="30" s="1"/>
  <c r="AL72" i="30"/>
  <c r="U34" i="30"/>
  <c r="AA30" i="30"/>
  <c r="Z30" i="30"/>
  <c r="AB30" i="30"/>
  <c r="AM30" i="30"/>
  <c r="AM34" i="30" s="1"/>
  <c r="AK80" i="30"/>
  <c r="AD16" i="47" s="1"/>
  <c r="AP40" i="30"/>
  <c r="AP48" i="30"/>
  <c r="AP52" i="30" s="1"/>
  <c r="I34" i="30"/>
  <c r="L80" i="30"/>
  <c r="E16" i="47" s="1"/>
  <c r="Y83" i="30"/>
  <c r="AA47" i="30"/>
  <c r="AO44" i="30"/>
  <c r="AO47" i="30" s="1"/>
  <c r="AB40" i="30"/>
  <c r="AL31" i="30"/>
  <c r="I87" i="30"/>
  <c r="I22" i="30"/>
  <c r="AO40" i="30"/>
  <c r="AO28" i="30"/>
  <c r="AN85" i="30"/>
  <c r="AN22" i="30"/>
  <c r="O80" i="30"/>
  <c r="AD53" i="30"/>
  <c r="AR80" i="30"/>
  <c r="AK16" i="47" s="1"/>
  <c r="I52" i="30"/>
  <c r="AD54" i="30"/>
  <c r="AL54" i="30" s="1"/>
  <c r="AM92" i="30"/>
  <c r="AM29" i="30"/>
  <c r="AD32" i="30"/>
  <c r="AL32" i="30" s="1"/>
  <c r="I66" i="30"/>
  <c r="AL63" i="30"/>
  <c r="AD70" i="30"/>
  <c r="AD74" i="30" s="1"/>
  <c r="Z74" i="30"/>
  <c r="AP69" i="30"/>
  <c r="AD75" i="30"/>
  <c r="AD79" i="30" s="1"/>
  <c r="Z79" i="30"/>
  <c r="AB74" i="30"/>
  <c r="I69" i="30"/>
  <c r="AL67" i="30"/>
  <c r="AL64" i="30"/>
  <c r="AO74" i="30"/>
  <c r="U85" i="30"/>
  <c r="AA17" i="30"/>
  <c r="AM17" i="30"/>
  <c r="Z17" i="30"/>
  <c r="AB17" i="30"/>
  <c r="U22" i="30"/>
  <c r="AP59" i="30"/>
  <c r="AL42" i="30"/>
  <c r="AL43" i="30" s="1"/>
  <c r="I93" i="30"/>
  <c r="I16" i="30"/>
  <c r="AD39" i="30"/>
  <c r="AL39" i="30" s="1"/>
  <c r="U91" i="30"/>
  <c r="AB20" i="30"/>
  <c r="AA20" i="30"/>
  <c r="AM20" i="30"/>
  <c r="AM91" i="30" s="1"/>
  <c r="Z20" i="30"/>
  <c r="I92" i="30"/>
  <c r="I29" i="30"/>
  <c r="AL28" i="30"/>
  <c r="O83" i="30"/>
  <c r="U82" i="30" s="1"/>
  <c r="AD49" i="30"/>
  <c r="AL49" i="30" s="1"/>
  <c r="Z52" i="30"/>
  <c r="I40" i="30"/>
  <c r="I14" i="30"/>
  <c r="I84" i="30"/>
  <c r="AD18" i="30"/>
  <c r="AL18" i="30" s="1"/>
  <c r="AB151" i="29"/>
  <c r="AP146" i="29"/>
  <c r="AP151" i="29" s="1"/>
  <c r="AA138" i="29"/>
  <c r="AO134" i="29"/>
  <c r="Z60" i="29"/>
  <c r="AD58" i="29"/>
  <c r="AL58" i="29" s="1"/>
  <c r="AM53" i="29"/>
  <c r="AM54" i="29" s="1"/>
  <c r="AA53" i="29"/>
  <c r="U54" i="29"/>
  <c r="AB53" i="29"/>
  <c r="Z53" i="29"/>
  <c r="AA43" i="29"/>
  <c r="U45" i="29"/>
  <c r="AB43" i="29"/>
  <c r="Z43" i="29"/>
  <c r="AM43" i="29"/>
  <c r="AM45" i="29" s="1"/>
  <c r="AA15" i="29"/>
  <c r="AO15" i="29" s="1"/>
  <c r="AB15" i="29"/>
  <c r="Z15" i="29"/>
  <c r="U16" i="29"/>
  <c r="AM15" i="29"/>
  <c r="AB109" i="29"/>
  <c r="AP109" i="29" s="1"/>
  <c r="AP110" i="29" s="1"/>
  <c r="AA109" i="29"/>
  <c r="AO109" i="29" s="1"/>
  <c r="Z109" i="29"/>
  <c r="Z163" i="29" s="1"/>
  <c r="AM109" i="29"/>
  <c r="AM110" i="29" s="1"/>
  <c r="AO21" i="29"/>
  <c r="AD21" i="29"/>
  <c r="AL21" i="29" s="1"/>
  <c r="AP101" i="29"/>
  <c r="AD142" i="29"/>
  <c r="AL142" i="29" s="1"/>
  <c r="Z145" i="29"/>
  <c r="AD144" i="29"/>
  <c r="AL144" i="29" s="1"/>
  <c r="AD149" i="29"/>
  <c r="AL149" i="29" s="1"/>
  <c r="AP140" i="29"/>
  <c r="AF155" i="29"/>
  <c r="AK154" i="29" s="1"/>
  <c r="AD140" i="29"/>
  <c r="AL140" i="29" s="1"/>
  <c r="AR151" i="29"/>
  <c r="Z96" i="29"/>
  <c r="AD92" i="29"/>
  <c r="AP127" i="29"/>
  <c r="AP130" i="29" s="1"/>
  <c r="AB130" i="29"/>
  <c r="AD124" i="29"/>
  <c r="AB118" i="29"/>
  <c r="AL107" i="29"/>
  <c r="I163" i="29"/>
  <c r="AR164" i="29"/>
  <c r="AR112" i="29"/>
  <c r="AD78" i="29"/>
  <c r="AL129" i="29"/>
  <c r="AO130" i="29"/>
  <c r="AA96" i="29"/>
  <c r="AD40" i="29"/>
  <c r="Z42" i="29"/>
  <c r="AM76" i="29"/>
  <c r="AL52" i="29"/>
  <c r="I54" i="29"/>
  <c r="AD70" i="29"/>
  <c r="AB27" i="29"/>
  <c r="AP26" i="29"/>
  <c r="AP27" i="29" s="1"/>
  <c r="AP51" i="29"/>
  <c r="AO28" i="29"/>
  <c r="AO30" i="29" s="1"/>
  <c r="AA30" i="29"/>
  <c r="O152" i="29"/>
  <c r="U153" i="29" s="1"/>
  <c r="I157" i="29"/>
  <c r="I71" i="29"/>
  <c r="AO14" i="29"/>
  <c r="AA16" i="29"/>
  <c r="AD14" i="29"/>
  <c r="AO31" i="29"/>
  <c r="AO33" i="29" s="1"/>
  <c r="AA33" i="29"/>
  <c r="AB101" i="29"/>
  <c r="AD41" i="29"/>
  <c r="AL41" i="29" s="1"/>
  <c r="AB23" i="29"/>
  <c r="AA23" i="29"/>
  <c r="Z23" i="29"/>
  <c r="U25" i="29"/>
  <c r="AM23" i="29"/>
  <c r="AM25" i="29" s="1"/>
  <c r="AN165" i="29"/>
  <c r="AN13" i="29"/>
  <c r="AD32" i="29"/>
  <c r="AL32" i="29" s="1"/>
  <c r="AD31" i="29"/>
  <c r="I159" i="29"/>
  <c r="AO135" i="29"/>
  <c r="AA159" i="29"/>
  <c r="AP138" i="29"/>
  <c r="AP133" i="29"/>
  <c r="AB111" i="29"/>
  <c r="AM111" i="29"/>
  <c r="U112" i="29"/>
  <c r="Z111" i="29"/>
  <c r="U164" i="29"/>
  <c r="AA111" i="29"/>
  <c r="AL147" i="29"/>
  <c r="AN157" i="29"/>
  <c r="AA118" i="29"/>
  <c r="AB138" i="29"/>
  <c r="AB105" i="29"/>
  <c r="AP76" i="29"/>
  <c r="I64" i="29"/>
  <c r="AO65" i="29"/>
  <c r="AO66" i="29" s="1"/>
  <c r="U110" i="29"/>
  <c r="AA46" i="29"/>
  <c r="U48" i="29"/>
  <c r="AM46" i="29"/>
  <c r="AM48" i="29" s="1"/>
  <c r="AB46" i="29"/>
  <c r="Z46" i="29"/>
  <c r="U81" i="29"/>
  <c r="AM77" i="29"/>
  <c r="AM81" i="29" s="1"/>
  <c r="Z77" i="29"/>
  <c r="AB77" i="29"/>
  <c r="AA77" i="29"/>
  <c r="AO88" i="29"/>
  <c r="AL104" i="29"/>
  <c r="U64" i="29"/>
  <c r="Z61" i="29"/>
  <c r="AB61" i="29"/>
  <c r="AM61" i="29"/>
  <c r="AM64" i="29" s="1"/>
  <c r="AA61" i="29"/>
  <c r="AP28" i="29"/>
  <c r="AP30" i="29" s="1"/>
  <c r="AB30" i="29"/>
  <c r="AN156" i="29"/>
  <c r="AN16" i="29"/>
  <c r="L152" i="29"/>
  <c r="E15" i="47" s="1"/>
  <c r="U165" i="29"/>
  <c r="AA12" i="29"/>
  <c r="AB12" i="29"/>
  <c r="Z12" i="29"/>
  <c r="U13" i="29"/>
  <c r="AM12" i="29"/>
  <c r="U156" i="29"/>
  <c r="AP31" i="29"/>
  <c r="AP33" i="29" s="1"/>
  <c r="AB33" i="29"/>
  <c r="Z130" i="29"/>
  <c r="AD127" i="29"/>
  <c r="AD130" i="29" s="1"/>
  <c r="I91" i="29"/>
  <c r="U157" i="29"/>
  <c r="U71" i="29"/>
  <c r="Z67" i="29"/>
  <c r="AB67" i="29"/>
  <c r="AA67" i="29"/>
  <c r="AM67" i="29"/>
  <c r="AD49" i="29"/>
  <c r="Z51" i="29"/>
  <c r="AO99" i="29"/>
  <c r="AD99" i="29"/>
  <c r="AL99" i="29" s="1"/>
  <c r="AL78" i="29"/>
  <c r="I151" i="29"/>
  <c r="AA145" i="29"/>
  <c r="AO142" i="29"/>
  <c r="AO145" i="29" s="1"/>
  <c r="AD136" i="29"/>
  <c r="AL136" i="29" s="1"/>
  <c r="AD131" i="29"/>
  <c r="Z133" i="29"/>
  <c r="AL148" i="29"/>
  <c r="AD137" i="29"/>
  <c r="AL137" i="29" s="1"/>
  <c r="AB159" i="29"/>
  <c r="AA123" i="29"/>
  <c r="AD121" i="29"/>
  <c r="AL121" i="29" s="1"/>
  <c r="AD115" i="29"/>
  <c r="AL115" i="29" s="1"/>
  <c r="I110" i="29"/>
  <c r="AR157" i="29"/>
  <c r="AR71" i="29"/>
  <c r="I164" i="29"/>
  <c r="I112" i="29"/>
  <c r="AP102" i="29"/>
  <c r="AP105" i="29" s="1"/>
  <c r="I81" i="29"/>
  <c r="AD134" i="29"/>
  <c r="Z138" i="29"/>
  <c r="AO105" i="29"/>
  <c r="AB96" i="29"/>
  <c r="I86" i="29"/>
  <c r="I76" i="29"/>
  <c r="AL63" i="29"/>
  <c r="AA110" i="29"/>
  <c r="AO106" i="29"/>
  <c r="AO110" i="29" s="1"/>
  <c r="AL73" i="29"/>
  <c r="AL89" i="29"/>
  <c r="AA37" i="29"/>
  <c r="U39" i="29"/>
  <c r="AM37" i="29"/>
  <c r="AM39" i="29" s="1"/>
  <c r="AB37" i="29"/>
  <c r="Z37" i="29"/>
  <c r="I60" i="29"/>
  <c r="U163" i="29"/>
  <c r="AD56" i="29"/>
  <c r="AL56" i="29" s="1"/>
  <c r="Z55" i="29"/>
  <c r="AB55" i="29"/>
  <c r="U57" i="29"/>
  <c r="AA55" i="29"/>
  <c r="AM55" i="29"/>
  <c r="AM57" i="29" s="1"/>
  <c r="Y155" i="29"/>
  <c r="Z105" i="29"/>
  <c r="AD50" i="29"/>
  <c r="AL50" i="29" s="1"/>
  <c r="Z66" i="29"/>
  <c r="AD65" i="29"/>
  <c r="AD66" i="29" s="1"/>
  <c r="AD38" i="29"/>
  <c r="AL38" i="29" s="1"/>
  <c r="AQ152" i="29"/>
  <c r="AJ15" i="47" s="1"/>
  <c r="AD28" i="29"/>
  <c r="AR156" i="29"/>
  <c r="AR16" i="29"/>
  <c r="AD114" i="29"/>
  <c r="I48" i="29"/>
  <c r="AD24" i="29"/>
  <c r="AL24" i="29" s="1"/>
  <c r="I130" i="29"/>
  <c r="I66" i="29"/>
  <c r="AO26" i="29"/>
  <c r="AO27" i="29" s="1"/>
  <c r="AA27" i="29"/>
  <c r="I141" i="29"/>
  <c r="Z159" i="29"/>
  <c r="AD135" i="29"/>
  <c r="AL135" i="29" s="1"/>
  <c r="Z151" i="29"/>
  <c r="AD146" i="29"/>
  <c r="AM133" i="29"/>
  <c r="AD143" i="29"/>
  <c r="AL143" i="29" s="1"/>
  <c r="AO118" i="29"/>
  <c r="I133" i="29"/>
  <c r="AL131" i="29"/>
  <c r="AO123" i="29"/>
  <c r="AO97" i="29"/>
  <c r="AA101" i="29"/>
  <c r="I138" i="29"/>
  <c r="AD147" i="29"/>
  <c r="AD117" i="29"/>
  <c r="AL117" i="29" s="1"/>
  <c r="AB91" i="29"/>
  <c r="AP88" i="29"/>
  <c r="AP91" i="29" s="1"/>
  <c r="AM138" i="29"/>
  <c r="AD98" i="29"/>
  <c r="AL98" i="29" s="1"/>
  <c r="Z91" i="29"/>
  <c r="AD87" i="29"/>
  <c r="AL68" i="29"/>
  <c r="AL75" i="29"/>
  <c r="Z110" i="29"/>
  <c r="AD106" i="29"/>
  <c r="AL106" i="29" s="1"/>
  <c r="AO91" i="29"/>
  <c r="AL93" i="29"/>
  <c r="I96" i="29"/>
  <c r="U36" i="29"/>
  <c r="AB34" i="29"/>
  <c r="AA34" i="29"/>
  <c r="Z34" i="29"/>
  <c r="AM34" i="29"/>
  <c r="AM36" i="29" s="1"/>
  <c r="AA76" i="29"/>
  <c r="AO72" i="29"/>
  <c r="AO76" i="29" s="1"/>
  <c r="I57" i="29"/>
  <c r="AO60" i="29"/>
  <c r="AA51" i="29"/>
  <c r="AO49" i="29"/>
  <c r="AO51" i="29" s="1"/>
  <c r="U86" i="29"/>
  <c r="AM82" i="29"/>
  <c r="AM86" i="29" s="1"/>
  <c r="AB82" i="29"/>
  <c r="AA82" i="29"/>
  <c r="Z82" i="29"/>
  <c r="AA60" i="29"/>
  <c r="I165" i="29"/>
  <c r="I13" i="29"/>
  <c r="AD102" i="29"/>
  <c r="AD47" i="29"/>
  <c r="AL47" i="29" s="1"/>
  <c r="AB20" i="29"/>
  <c r="AA20" i="29"/>
  <c r="Z20" i="29"/>
  <c r="U22" i="29"/>
  <c r="AM20" i="29"/>
  <c r="AM22" i="29" s="1"/>
  <c r="AD26" i="29"/>
  <c r="AP163" i="29"/>
  <c r="Z76" i="29"/>
  <c r="AD72" i="29"/>
  <c r="AM145" i="29"/>
  <c r="AA141" i="29"/>
  <c r="AO139" i="29"/>
  <c r="AO141" i="29" s="1"/>
  <c r="I145" i="29"/>
  <c r="AM159" i="29"/>
  <c r="AD139" i="29"/>
  <c r="Z141" i="29"/>
  <c r="AM151" i="29"/>
  <c r="AP141" i="29"/>
  <c r="AO131" i="29"/>
  <c r="AO133" i="29" s="1"/>
  <c r="Z123" i="29"/>
  <c r="AD119" i="29"/>
  <c r="AL108" i="29"/>
  <c r="Z101" i="29"/>
  <c r="AD97" i="29"/>
  <c r="AB145" i="29"/>
  <c r="AD80" i="29"/>
  <c r="AL80" i="29" s="1"/>
  <c r="AL94" i="29"/>
  <c r="AA91" i="29"/>
  <c r="AD100" i="29"/>
  <c r="AL100" i="29" s="1"/>
  <c r="AD74" i="29"/>
  <c r="AL74" i="29" s="1"/>
  <c r="AD59" i="29"/>
  <c r="AL59" i="29" s="1"/>
  <c r="AK110" i="29"/>
  <c r="AK152" i="29" s="1"/>
  <c r="AD15" i="47" s="1"/>
  <c r="AB76" i="29"/>
  <c r="AA42" i="29"/>
  <c r="AO40" i="29"/>
  <c r="AO42" i="29" s="1"/>
  <c r="AO70" i="29"/>
  <c r="AO163" i="29" s="1"/>
  <c r="AB60" i="29"/>
  <c r="AP58" i="29"/>
  <c r="AP60" i="29" s="1"/>
  <c r="I156" i="29"/>
  <c r="AL14" i="29"/>
  <c r="I16" i="29"/>
  <c r="AA18" i="29"/>
  <c r="AB18" i="29"/>
  <c r="Z18" i="29"/>
  <c r="AM18" i="29"/>
  <c r="AM19" i="29" s="1"/>
  <c r="U19" i="29"/>
  <c r="AR165" i="29"/>
  <c r="AR13" i="29"/>
  <c r="AD84" i="29"/>
  <c r="AL84" i="29" s="1"/>
  <c r="AD79" i="29"/>
  <c r="AL79" i="29" s="1"/>
  <c r="O155" i="29"/>
  <c r="U154" i="29" s="1"/>
  <c r="L155" i="29"/>
  <c r="I19" i="29"/>
  <c r="AB110" i="29" l="1"/>
  <c r="AO138" i="29"/>
  <c r="AD91" i="29"/>
  <c r="AN152" i="29"/>
  <c r="AG15" i="47" s="1"/>
  <c r="AK155" i="29"/>
  <c r="AL65" i="29"/>
  <c r="AL66" i="29" s="1"/>
  <c r="AD133" i="29"/>
  <c r="AA163" i="29"/>
  <c r="AL127" i="29"/>
  <c r="AL130" i="29" s="1"/>
  <c r="AO159" i="29"/>
  <c r="AL133" i="29"/>
  <c r="AM156" i="29"/>
  <c r="AM16" i="29"/>
  <c r="AD141" i="29"/>
  <c r="H15" i="47"/>
  <c r="V153" i="29"/>
  <c r="AK225" i="32"/>
  <c r="AD18" i="47" s="1"/>
  <c r="N17" i="47"/>
  <c r="Z59" i="31"/>
  <c r="AR83" i="30"/>
  <c r="AL139" i="32"/>
  <c r="AA124" i="32"/>
  <c r="AL178" i="32"/>
  <c r="AA212" i="32"/>
  <c r="AP176" i="32"/>
  <c r="AD134" i="32"/>
  <c r="AA229" i="32"/>
  <c r="AD44" i="32"/>
  <c r="AL44" i="32" s="1"/>
  <c r="AL231" i="32"/>
  <c r="AK226" i="32"/>
  <c r="AD208" i="32"/>
  <c r="AL208" i="32" s="1"/>
  <c r="AL117" i="32"/>
  <c r="AM47" i="32"/>
  <c r="AO124" i="32"/>
  <c r="AL24" i="32"/>
  <c r="AO176" i="32"/>
  <c r="AD217" i="32"/>
  <c r="AP47" i="32"/>
  <c r="AL90" i="32"/>
  <c r="AL92" i="32" s="1"/>
  <c r="AB47" i="32"/>
  <c r="Z229" i="32"/>
  <c r="AB184" i="32"/>
  <c r="AP182" i="32"/>
  <c r="AP184" i="32" s="1"/>
  <c r="H18" i="47"/>
  <c r="V226" i="32"/>
  <c r="U226" i="32"/>
  <c r="AL169" i="32"/>
  <c r="AL64" i="32"/>
  <c r="AL68" i="32" s="1"/>
  <c r="U227" i="32"/>
  <c r="AR225" i="32"/>
  <c r="AK18" i="47" s="1"/>
  <c r="AD166" i="32"/>
  <c r="AB217" i="32"/>
  <c r="AP213" i="32"/>
  <c r="AP217" i="32" s="1"/>
  <c r="AP166" i="32"/>
  <c r="AM176" i="32"/>
  <c r="AA109" i="32"/>
  <c r="AO105" i="32"/>
  <c r="AO109" i="32" s="1"/>
  <c r="I82" i="30"/>
  <c r="I226" i="32"/>
  <c r="I227" i="32"/>
  <c r="I60" i="31"/>
  <c r="I59" i="31"/>
  <c r="I81" i="30"/>
  <c r="I153" i="29"/>
  <c r="AR61" i="31"/>
  <c r="AN155" i="29"/>
  <c r="I154" i="29"/>
  <c r="AL212" i="32"/>
  <c r="AM237" i="32"/>
  <c r="AM89" i="32"/>
  <c r="Z53" i="32"/>
  <c r="AD48" i="32"/>
  <c r="AB151" i="32"/>
  <c r="AP147" i="32"/>
  <c r="AP151" i="32" s="1"/>
  <c r="Z197" i="32"/>
  <c r="AD193" i="32"/>
  <c r="AB63" i="32"/>
  <c r="AP59" i="32"/>
  <c r="AP63" i="32" s="1"/>
  <c r="AO32" i="32"/>
  <c r="AO33" i="32" s="1"/>
  <c r="AA33" i="32"/>
  <c r="AA47" i="32"/>
  <c r="AO43" i="32"/>
  <c r="AO47" i="32" s="1"/>
  <c r="AL130" i="32"/>
  <c r="AL134" i="32" s="1"/>
  <c r="AA53" i="32"/>
  <c r="AO48" i="32"/>
  <c r="AO53" i="32" s="1"/>
  <c r="AL115" i="32"/>
  <c r="AL116" i="32" s="1"/>
  <c r="AB197" i="32"/>
  <c r="AP193" i="32"/>
  <c r="AP197" i="32" s="1"/>
  <c r="AN228" i="32"/>
  <c r="AB58" i="32"/>
  <c r="AP54" i="32"/>
  <c r="AP58" i="32" s="1"/>
  <c r="AK228" i="32"/>
  <c r="AD104" i="32"/>
  <c r="AL101" i="32"/>
  <c r="AL104" i="32" s="1"/>
  <c r="AA224" i="32"/>
  <c r="AO223" i="32"/>
  <c r="AO224" i="32" s="1"/>
  <c r="AA114" i="32"/>
  <c r="AO110" i="32"/>
  <c r="AO114" i="32" s="1"/>
  <c r="AB232" i="32"/>
  <c r="AP94" i="32"/>
  <c r="AP232" i="32" s="1"/>
  <c r="AD142" i="32"/>
  <c r="AL140" i="32"/>
  <c r="AL142" i="32" s="1"/>
  <c r="AA176" i="32"/>
  <c r="AA222" i="32"/>
  <c r="AO218" i="32"/>
  <c r="AO222" i="32" s="1"/>
  <c r="AL16" i="32"/>
  <c r="Z238" i="32"/>
  <c r="Z13" i="32"/>
  <c r="AD12" i="32"/>
  <c r="AP125" i="32"/>
  <c r="AP129" i="32" s="1"/>
  <c r="AB129" i="32"/>
  <c r="AL167" i="32"/>
  <c r="AL168" i="32" s="1"/>
  <c r="AL190" i="32"/>
  <c r="AL192" i="32" s="1"/>
  <c r="AD109" i="32"/>
  <c r="AL105" i="32"/>
  <c r="AL109" i="32" s="1"/>
  <c r="AD146" i="32"/>
  <c r="AL143" i="32"/>
  <c r="AL146" i="32" s="1"/>
  <c r="AA232" i="32"/>
  <c r="AO94" i="32"/>
  <c r="AL198" i="32"/>
  <c r="AL202" i="32" s="1"/>
  <c r="U225" i="32"/>
  <c r="AA129" i="32"/>
  <c r="AO125" i="32"/>
  <c r="AO129" i="32" s="1"/>
  <c r="AA230" i="32"/>
  <c r="AO38" i="32"/>
  <c r="AB176" i="32"/>
  <c r="AD212" i="32"/>
  <c r="Z237" i="32"/>
  <c r="Z89" i="32"/>
  <c r="AD88" i="32"/>
  <c r="U228" i="32"/>
  <c r="Z227" i="32" s="1"/>
  <c r="AB53" i="32"/>
  <c r="AP48" i="32"/>
  <c r="AP53" i="32" s="1"/>
  <c r="AD72" i="32"/>
  <c r="AA58" i="32"/>
  <c r="AO54" i="32"/>
  <c r="AO58" i="32" s="1"/>
  <c r="AB236" i="32"/>
  <c r="AP40" i="32"/>
  <c r="AP236" i="32" s="1"/>
  <c r="AR230" i="32"/>
  <c r="AR228" i="32" s="1"/>
  <c r="Z207" i="32"/>
  <c r="AD203" i="32"/>
  <c r="AD87" i="32"/>
  <c r="AD234" i="32"/>
  <c r="Z232" i="32"/>
  <c r="AD94" i="32"/>
  <c r="AD97" i="32" s="1"/>
  <c r="AL181" i="32"/>
  <c r="AB222" i="32"/>
  <c r="AP218" i="32"/>
  <c r="AP222" i="32" s="1"/>
  <c r="Z27" i="32"/>
  <c r="AD25" i="32"/>
  <c r="I228" i="32"/>
  <c r="AM238" i="32"/>
  <c r="AM13" i="32"/>
  <c r="AD16" i="32"/>
  <c r="AA77" i="32"/>
  <c r="AO73" i="32"/>
  <c r="AO77" i="32" s="1"/>
  <c r="AB230" i="32"/>
  <c r="AP38" i="32"/>
  <c r="AL87" i="32"/>
  <c r="AD174" i="32"/>
  <c r="AL174" i="32" s="1"/>
  <c r="AP16" i="32"/>
  <c r="AL31" i="32"/>
  <c r="AD43" i="32"/>
  <c r="Z47" i="32"/>
  <c r="AB77" i="32"/>
  <c r="AP73" i="32"/>
  <c r="AP77" i="32" s="1"/>
  <c r="AL93" i="32"/>
  <c r="AA237" i="32"/>
  <c r="AA89" i="32"/>
  <c r="AO88" i="32"/>
  <c r="AA151" i="32"/>
  <c r="AO147" i="32"/>
  <c r="AO151" i="32" s="1"/>
  <c r="AL217" i="32"/>
  <c r="AA236" i="32"/>
  <c r="AO40" i="32"/>
  <c r="AO236" i="32" s="1"/>
  <c r="AL120" i="32"/>
  <c r="AD223" i="32"/>
  <c r="Z224" i="32"/>
  <c r="AN225" i="32"/>
  <c r="AG18" i="47" s="1"/>
  <c r="AD189" i="32"/>
  <c r="AM229" i="32"/>
  <c r="AL34" i="32"/>
  <c r="AL36" i="32" s="1"/>
  <c r="AP110" i="32"/>
  <c r="AP114" i="32" s="1"/>
  <c r="AB114" i="32"/>
  <c r="AM232" i="32"/>
  <c r="AL189" i="32"/>
  <c r="AD218" i="32"/>
  <c r="Z222" i="32"/>
  <c r="AD184" i="32"/>
  <c r="AL182" i="32"/>
  <c r="AL184" i="32" s="1"/>
  <c r="Z230" i="32"/>
  <c r="AD38" i="32"/>
  <c r="Z41" i="32"/>
  <c r="AL119" i="32"/>
  <c r="AB237" i="32"/>
  <c r="AP88" i="32"/>
  <c r="AB89" i="32"/>
  <c r="AP121" i="32"/>
  <c r="AP124" i="32" s="1"/>
  <c r="AB124" i="32"/>
  <c r="AL159" i="32"/>
  <c r="AL166" i="32" s="1"/>
  <c r="AA197" i="32"/>
  <c r="AO193" i="32"/>
  <c r="AO197" i="32" s="1"/>
  <c r="AD59" i="32"/>
  <c r="Z63" i="32"/>
  <c r="Z58" i="32"/>
  <c r="AD54" i="32"/>
  <c r="Z236" i="32"/>
  <c r="AD40" i="32"/>
  <c r="AA207" i="32"/>
  <c r="AO203" i="32"/>
  <c r="AO207" i="32" s="1"/>
  <c r="AL171" i="32"/>
  <c r="AD110" i="32"/>
  <c r="Z114" i="32"/>
  <c r="AA27" i="32"/>
  <c r="AO25" i="32"/>
  <c r="AO27" i="32" s="1"/>
  <c r="AA238" i="32"/>
  <c r="AA13" i="32"/>
  <c r="AO12" i="32"/>
  <c r="AD125" i="32"/>
  <c r="Z129" i="32"/>
  <c r="AD20" i="32"/>
  <c r="AL17" i="32"/>
  <c r="AL20" i="32" s="1"/>
  <c r="AB229" i="32"/>
  <c r="AM230" i="32"/>
  <c r="AM41" i="32"/>
  <c r="AA97" i="32"/>
  <c r="AD154" i="32"/>
  <c r="AL152" i="32"/>
  <c r="AL154" i="32" s="1"/>
  <c r="I225" i="32"/>
  <c r="B18" i="47" s="1"/>
  <c r="AL72" i="32"/>
  <c r="Z77" i="32"/>
  <c r="AD73" i="32"/>
  <c r="AD139" i="32"/>
  <c r="AD173" i="32"/>
  <c r="Z176" i="32"/>
  <c r="AD121" i="32"/>
  <c r="AL121" i="32" s="1"/>
  <c r="Z151" i="32"/>
  <c r="AD147" i="32"/>
  <c r="AL28" i="32"/>
  <c r="AL30" i="32" s="1"/>
  <c r="AD30" i="32"/>
  <c r="AA63" i="32"/>
  <c r="AO59" i="32"/>
  <c r="AO63" i="32" s="1"/>
  <c r="AO16" i="32"/>
  <c r="AD231" i="32"/>
  <c r="AL100" i="32"/>
  <c r="AB224" i="32"/>
  <c r="AP223" i="32"/>
  <c r="AP224" i="32" s="1"/>
  <c r="AB207" i="32"/>
  <c r="AP203" i="32"/>
  <c r="AP207" i="32" s="1"/>
  <c r="AD32" i="32"/>
  <c r="AL32" i="32" s="1"/>
  <c r="Z33" i="32"/>
  <c r="AD39" i="32"/>
  <c r="AL39" i="32" s="1"/>
  <c r="AM97" i="32"/>
  <c r="AD158" i="32"/>
  <c r="AL155" i="32"/>
  <c r="AL158" i="32" s="1"/>
  <c r="AD24" i="32"/>
  <c r="AB27" i="32"/>
  <c r="AP25" i="32"/>
  <c r="AP27" i="32" s="1"/>
  <c r="AB238" i="32"/>
  <c r="AB13" i="32"/>
  <c r="AP12" i="32"/>
  <c r="AP109" i="32"/>
  <c r="AD62" i="31"/>
  <c r="I61" i="31"/>
  <c r="AD39" i="31"/>
  <c r="AL35" i="31"/>
  <c r="AD53" i="31"/>
  <c r="AL52" i="31"/>
  <c r="AL53" i="31" s="1"/>
  <c r="AD47" i="31"/>
  <c r="Z51" i="31"/>
  <c r="Z62" i="31"/>
  <c r="AD65" i="31"/>
  <c r="AL37" i="31"/>
  <c r="AL65" i="31" s="1"/>
  <c r="AN61" i="31"/>
  <c r="AL19" i="31"/>
  <c r="AL20" i="31" s="1"/>
  <c r="AA51" i="31"/>
  <c r="AO47" i="31"/>
  <c r="AO51" i="31" s="1"/>
  <c r="AP47" i="31"/>
  <c r="AP51" i="31" s="1"/>
  <c r="AB51" i="31"/>
  <c r="AP43" i="31"/>
  <c r="AB46" i="31"/>
  <c r="AB63" i="31"/>
  <c r="AD70" i="31"/>
  <c r="AD34" i="31"/>
  <c r="AM51" i="31"/>
  <c r="AM62" i="31"/>
  <c r="AL57" i="31"/>
  <c r="AL23" i="31"/>
  <c r="AD42" i="31"/>
  <c r="AL40" i="31"/>
  <c r="AL42" i="31" s="1"/>
  <c r="AD71" i="31"/>
  <c r="AD22" i="31"/>
  <c r="AD57" i="31"/>
  <c r="AA46" i="31"/>
  <c r="AA58" i="31" s="1"/>
  <c r="T17" i="47" s="1"/>
  <c r="AO43" i="31"/>
  <c r="Z69" i="31"/>
  <c r="AD26" i="31"/>
  <c r="AD27" i="31" s="1"/>
  <c r="I58" i="31"/>
  <c r="B17" i="47" s="1"/>
  <c r="Z58" i="31"/>
  <c r="AA69" i="31"/>
  <c r="AO26" i="31"/>
  <c r="AO69" i="31" s="1"/>
  <c r="AP70" i="31"/>
  <c r="AP34" i="31"/>
  <c r="AM27" i="31"/>
  <c r="AM58" i="31" s="1"/>
  <c r="AA63" i="31"/>
  <c r="AL34" i="31"/>
  <c r="AL70" i="31"/>
  <c r="AR58" i="31"/>
  <c r="AK17" i="47" s="1"/>
  <c r="AD43" i="31"/>
  <c r="Z46" i="31"/>
  <c r="AL21" i="31"/>
  <c r="AB69" i="31"/>
  <c r="AB27" i="31"/>
  <c r="AP26" i="31"/>
  <c r="AM63" i="31"/>
  <c r="AL14" i="31"/>
  <c r="AA62" i="31"/>
  <c r="AA85" i="30"/>
  <c r="AA22" i="30"/>
  <c r="AO17" i="30"/>
  <c r="Z34" i="30"/>
  <c r="AD30" i="30"/>
  <c r="AB84" i="30"/>
  <c r="AB14" i="30"/>
  <c r="AP12" i="30"/>
  <c r="AD47" i="30"/>
  <c r="AL44" i="30"/>
  <c r="AL47" i="30" s="1"/>
  <c r="AN83" i="30"/>
  <c r="AM93" i="30"/>
  <c r="AM16" i="30"/>
  <c r="AL66" i="30"/>
  <c r="AO92" i="30"/>
  <c r="AO29" i="30"/>
  <c r="AA34" i="30"/>
  <c r="AO30" i="30"/>
  <c r="AO34" i="30" s="1"/>
  <c r="Z84" i="30"/>
  <c r="Z14" i="30"/>
  <c r="AD12" i="30"/>
  <c r="AD87" i="30"/>
  <c r="AD66" i="30"/>
  <c r="Z27" i="30"/>
  <c r="AD23" i="30"/>
  <c r="AA62" i="30"/>
  <c r="AO60" i="30"/>
  <c r="AO62" i="30" s="1"/>
  <c r="AD38" i="30"/>
  <c r="AL38" i="30" s="1"/>
  <c r="AL40" i="30" s="1"/>
  <c r="AL75" i="30"/>
  <c r="AL79" i="30" s="1"/>
  <c r="Z91" i="30"/>
  <c r="AD20" i="30"/>
  <c r="AM84" i="30"/>
  <c r="AM14" i="30"/>
  <c r="AA27" i="30"/>
  <c r="AO23" i="30"/>
  <c r="AO27" i="30" s="1"/>
  <c r="AA93" i="30"/>
  <c r="AA16" i="30"/>
  <c r="AO15" i="30"/>
  <c r="AP60" i="30"/>
  <c r="AP62" i="30" s="1"/>
  <c r="AB62" i="30"/>
  <c r="I83" i="30"/>
  <c r="AB85" i="30"/>
  <c r="AB22" i="30"/>
  <c r="AP17" i="30"/>
  <c r="AD55" i="30"/>
  <c r="AL53" i="30"/>
  <c r="AL55" i="30" s="1"/>
  <c r="U80" i="30"/>
  <c r="AD52" i="30"/>
  <c r="AL48" i="30"/>
  <c r="AL52" i="30" s="1"/>
  <c r="AB27" i="30"/>
  <c r="AP23" i="30"/>
  <c r="AP27" i="30" s="1"/>
  <c r="AP92" i="30"/>
  <c r="AP29" i="30"/>
  <c r="AO87" i="30"/>
  <c r="AA91" i="30"/>
  <c r="AO20" i="30"/>
  <c r="AO91" i="30" s="1"/>
  <c r="Z85" i="30"/>
  <c r="AD17" i="30"/>
  <c r="Z22" i="30"/>
  <c r="AL69" i="30"/>
  <c r="U83" i="30"/>
  <c r="Z82" i="30" s="1"/>
  <c r="AD92" i="30"/>
  <c r="AD29" i="30"/>
  <c r="AB93" i="30"/>
  <c r="AB16" i="30"/>
  <c r="AP15" i="30"/>
  <c r="AL70" i="30"/>
  <c r="AL74" i="30" s="1"/>
  <c r="I80" i="30"/>
  <c r="B16" i="47" s="1"/>
  <c r="AL92" i="30"/>
  <c r="AL29" i="30"/>
  <c r="AB91" i="30"/>
  <c r="AP20" i="30"/>
  <c r="AP91" i="30" s="1"/>
  <c r="AM85" i="30"/>
  <c r="AM22" i="30"/>
  <c r="AB34" i="30"/>
  <c r="AP30" i="30"/>
  <c r="AP34" i="30" s="1"/>
  <c r="AA84" i="30"/>
  <c r="AA14" i="30"/>
  <c r="AO12" i="30"/>
  <c r="AN80" i="30"/>
  <c r="Z93" i="30"/>
  <c r="AD15" i="30"/>
  <c r="Z16" i="30"/>
  <c r="Z62" i="30"/>
  <c r="AD60" i="30"/>
  <c r="AD59" i="30"/>
  <c r="AL56" i="30"/>
  <c r="AL59" i="30" s="1"/>
  <c r="AA40" i="30"/>
  <c r="Z36" i="29"/>
  <c r="AD34" i="29"/>
  <c r="AL60" i="29"/>
  <c r="AD138" i="29"/>
  <c r="AL134" i="29"/>
  <c r="AL138" i="29" s="1"/>
  <c r="AD51" i="29"/>
  <c r="AL49" i="29"/>
  <c r="AL51" i="29" s="1"/>
  <c r="AA165" i="29"/>
  <c r="AO12" i="29"/>
  <c r="AA13" i="29"/>
  <c r="AD126" i="29"/>
  <c r="AL124" i="29"/>
  <c r="AL126" i="29" s="1"/>
  <c r="AB86" i="29"/>
  <c r="AP82" i="29"/>
  <c r="AP86" i="29" s="1"/>
  <c r="AA36" i="29"/>
  <c r="AO34" i="29"/>
  <c r="AO36" i="29" s="1"/>
  <c r="AD151" i="29"/>
  <c r="AD30" i="29"/>
  <c r="AL28" i="29"/>
  <c r="AL30" i="29" s="1"/>
  <c r="AB57" i="29"/>
  <c r="AP55" i="29"/>
  <c r="AP57" i="29" s="1"/>
  <c r="AD37" i="29"/>
  <c r="Z39" i="29"/>
  <c r="AL146" i="29"/>
  <c r="AL151" i="29" s="1"/>
  <c r="AM157" i="29"/>
  <c r="AM71" i="29"/>
  <c r="AL87" i="29"/>
  <c r="AL91" i="29" s="1"/>
  <c r="U155" i="29"/>
  <c r="Z154" i="29" s="1"/>
  <c r="AA64" i="29"/>
  <c r="AO61" i="29"/>
  <c r="AO64" i="29" s="1"/>
  <c r="AM163" i="29"/>
  <c r="AA164" i="29"/>
  <c r="AA112" i="29"/>
  <c r="AO111" i="29"/>
  <c r="AL70" i="29"/>
  <c r="AD145" i="29"/>
  <c r="AD109" i="29"/>
  <c r="AL109" i="29" s="1"/>
  <c r="AL110" i="29" s="1"/>
  <c r="AD15" i="29"/>
  <c r="AL15" i="29" s="1"/>
  <c r="Z16" i="29"/>
  <c r="Z156" i="29"/>
  <c r="AA48" i="29"/>
  <c r="AO46" i="29"/>
  <c r="AO48" i="29" s="1"/>
  <c r="AB164" i="29"/>
  <c r="AB112" i="29"/>
  <c r="AP111" i="29"/>
  <c r="AA156" i="29"/>
  <c r="AB45" i="29"/>
  <c r="AP43" i="29"/>
  <c r="AP45" i="29" s="1"/>
  <c r="AL16" i="29"/>
  <c r="AL145" i="29"/>
  <c r="AD76" i="29"/>
  <c r="AB36" i="29"/>
  <c r="AP34" i="29"/>
  <c r="AP36" i="29" s="1"/>
  <c r="Z57" i="29"/>
  <c r="AD55" i="29"/>
  <c r="AB39" i="29"/>
  <c r="AP37" i="29"/>
  <c r="AP39" i="29" s="1"/>
  <c r="AA157" i="29"/>
  <c r="AA71" i="29"/>
  <c r="AO67" i="29"/>
  <c r="AM165" i="29"/>
  <c r="AM13" i="29"/>
  <c r="AD46" i="29"/>
  <c r="Z48" i="29"/>
  <c r="AD33" i="29"/>
  <c r="AL31" i="29"/>
  <c r="AL33" i="29" s="1"/>
  <c r="AD23" i="29"/>
  <c r="Z25" i="29"/>
  <c r="AD42" i="29"/>
  <c r="AL40" i="29"/>
  <c r="AL42" i="29" s="1"/>
  <c r="AB156" i="29"/>
  <c r="AB16" i="29"/>
  <c r="AP15" i="29"/>
  <c r="AA45" i="29"/>
  <c r="AO43" i="29"/>
  <c r="AO45" i="29" s="1"/>
  <c r="AD60" i="29"/>
  <c r="AR155" i="29"/>
  <c r="AL159" i="29"/>
  <c r="AA54" i="29"/>
  <c r="AO53" i="29"/>
  <c r="AO54" i="29" s="1"/>
  <c r="AD18" i="29"/>
  <c r="Z19" i="29"/>
  <c r="I155" i="29"/>
  <c r="AD101" i="29"/>
  <c r="AL97" i="29"/>
  <c r="AL101" i="29" s="1"/>
  <c r="AD20" i="29"/>
  <c r="Z22" i="29"/>
  <c r="AD105" i="29"/>
  <c r="AL102" i="29"/>
  <c r="AL105" i="29" s="1"/>
  <c r="AD159" i="29"/>
  <c r="AB157" i="29"/>
  <c r="AB71" i="29"/>
  <c r="AP67" i="29"/>
  <c r="U152" i="29"/>
  <c r="AB64" i="29"/>
  <c r="AP61" i="29"/>
  <c r="AP64" i="29" s="1"/>
  <c r="AA81" i="29"/>
  <c r="AO77" i="29"/>
  <c r="AO81" i="29" s="1"/>
  <c r="AB48" i="29"/>
  <c r="AP46" i="29"/>
  <c r="AP48" i="29" s="1"/>
  <c r="Z164" i="29"/>
  <c r="Z112" i="29"/>
  <c r="AD111" i="29"/>
  <c r="AO23" i="29"/>
  <c r="AO25" i="29" s="1"/>
  <c r="AA25" i="29"/>
  <c r="AD96" i="29"/>
  <c r="AL92" i="29"/>
  <c r="AL96" i="29" s="1"/>
  <c r="AD53" i="29"/>
  <c r="Z54" i="29"/>
  <c r="AD123" i="29"/>
  <c r="AL119" i="29"/>
  <c r="AL123" i="29" s="1"/>
  <c r="AL139" i="29"/>
  <c r="AL141" i="29" s="1"/>
  <c r="AP18" i="29"/>
  <c r="AP19" i="29" s="1"/>
  <c r="AB19" i="29"/>
  <c r="AD118" i="29"/>
  <c r="AL114" i="29"/>
  <c r="AL118" i="29" s="1"/>
  <c r="Z157" i="29"/>
  <c r="Z71" i="29"/>
  <c r="AD67" i="29"/>
  <c r="Z165" i="29"/>
  <c r="AD12" i="29"/>
  <c r="Z13" i="29"/>
  <c r="Z64" i="29"/>
  <c r="AD61" i="29"/>
  <c r="AB81" i="29"/>
  <c r="AP77" i="29"/>
  <c r="AP81" i="29" s="1"/>
  <c r="AB25" i="29"/>
  <c r="AP23" i="29"/>
  <c r="AP25" i="29" s="1"/>
  <c r="AB54" i="29"/>
  <c r="AP53" i="29"/>
  <c r="AP54" i="29" s="1"/>
  <c r="AA86" i="29"/>
  <c r="AO82" i="29"/>
  <c r="AO86" i="29" s="1"/>
  <c r="AO20" i="29"/>
  <c r="AO22" i="29" s="1"/>
  <c r="AA22" i="29"/>
  <c r="AR152" i="29"/>
  <c r="AK15" i="47" s="1"/>
  <c r="AO18" i="29"/>
  <c r="AO19" i="29" s="1"/>
  <c r="AA19" i="29"/>
  <c r="AD27" i="29"/>
  <c r="AL26" i="29"/>
  <c r="AL27" i="29" s="1"/>
  <c r="AB22" i="29"/>
  <c r="AP20" i="29"/>
  <c r="AP22" i="29" s="1"/>
  <c r="I152" i="29"/>
  <c r="B15" i="47" s="1"/>
  <c r="AD82" i="29"/>
  <c r="Z86" i="29"/>
  <c r="AO101" i="29"/>
  <c r="AA57" i="29"/>
  <c r="AO55" i="29"/>
  <c r="AO57" i="29" s="1"/>
  <c r="AA39" i="29"/>
  <c r="AO37" i="29"/>
  <c r="AO39" i="29" s="1"/>
  <c r="AL72" i="29"/>
  <c r="AL76" i="29" s="1"/>
  <c r="AB165" i="29"/>
  <c r="AB13" i="29"/>
  <c r="AP12" i="29"/>
  <c r="AD77" i="29"/>
  <c r="Z81" i="29"/>
  <c r="AM164" i="29"/>
  <c r="AM112" i="29"/>
  <c r="AO156" i="29"/>
  <c r="AO16" i="29"/>
  <c r="AD43" i="29"/>
  <c r="Z45" i="29"/>
  <c r="AB163" i="29"/>
  <c r="AD16" i="29" l="1"/>
  <c r="AD156" i="29"/>
  <c r="S17" i="47"/>
  <c r="AD40" i="30"/>
  <c r="Z80" i="30"/>
  <c r="Z81" i="30"/>
  <c r="N16" i="47"/>
  <c r="AB152" i="29"/>
  <c r="U15" i="47" s="1"/>
  <c r="N15" i="47"/>
  <c r="Z153" i="29"/>
  <c r="Z226" i="32"/>
  <c r="N18" i="47"/>
  <c r="AB225" i="32"/>
  <c r="U18" i="47" s="1"/>
  <c r="AO229" i="32"/>
  <c r="AF17" i="47"/>
  <c r="AA228" i="32"/>
  <c r="Z228" i="32"/>
  <c r="Z61" i="31"/>
  <c r="AB61" i="31"/>
  <c r="AM155" i="29"/>
  <c r="AO238" i="32"/>
  <c r="AO13" i="32"/>
  <c r="AD114" i="32"/>
  <c r="AL110" i="32"/>
  <c r="AL114" i="32" s="1"/>
  <c r="AD236" i="32"/>
  <c r="AL40" i="32"/>
  <c r="AL236" i="32" s="1"/>
  <c r="AP237" i="32"/>
  <c r="AP89" i="32"/>
  <c r="AD229" i="32"/>
  <c r="AL43" i="32"/>
  <c r="AL47" i="32" s="1"/>
  <c r="AD47" i="32"/>
  <c r="AM225" i="32"/>
  <c r="AD207" i="32"/>
  <c r="AL203" i="32"/>
  <c r="AL207" i="32" s="1"/>
  <c r="AD53" i="32"/>
  <c r="AL48" i="32"/>
  <c r="AL53" i="32" s="1"/>
  <c r="AA225" i="32"/>
  <c r="T18" i="47" s="1"/>
  <c r="AL33" i="32"/>
  <c r="AP230" i="32"/>
  <c r="AP41" i="32"/>
  <c r="AP97" i="32"/>
  <c r="AB228" i="32"/>
  <c r="AD176" i="32"/>
  <c r="AL173" i="32"/>
  <c r="AL176" i="32" s="1"/>
  <c r="AD58" i="32"/>
  <c r="AL54" i="32"/>
  <c r="AL58" i="32" s="1"/>
  <c r="AD224" i="32"/>
  <c r="AL223" i="32"/>
  <c r="AL224" i="32" s="1"/>
  <c r="AD33" i="32"/>
  <c r="AD232" i="32"/>
  <c r="AL94" i="32"/>
  <c r="AL232" i="32" s="1"/>
  <c r="AD197" i="32"/>
  <c r="AL193" i="32"/>
  <c r="AL197" i="32" s="1"/>
  <c r="AL124" i="32"/>
  <c r="AD27" i="32"/>
  <c r="AL25" i="32"/>
  <c r="AL27" i="32" s="1"/>
  <c r="AD238" i="32"/>
  <c r="AD13" i="32"/>
  <c r="AL12" i="32"/>
  <c r="AP238" i="32"/>
  <c r="AP13" i="32"/>
  <c r="AD151" i="32"/>
  <c r="AL147" i="32"/>
  <c r="AL151" i="32" s="1"/>
  <c r="AD77" i="32"/>
  <c r="AL73" i="32"/>
  <c r="AL77" i="32" s="1"/>
  <c r="AD230" i="32"/>
  <c r="AL38" i="32"/>
  <c r="AD41" i="32"/>
  <c r="AD222" i="32"/>
  <c r="AL218" i="32"/>
  <c r="AL222" i="32" s="1"/>
  <c r="AM228" i="32"/>
  <c r="AD124" i="32"/>
  <c r="AO237" i="32"/>
  <c r="AO89" i="32"/>
  <c r="AP229" i="32"/>
  <c r="AO230" i="32"/>
  <c r="AO41" i="32"/>
  <c r="AO232" i="32"/>
  <c r="AO97" i="32"/>
  <c r="Z225" i="32"/>
  <c r="AD129" i="32"/>
  <c r="AL125" i="32"/>
  <c r="AL129" i="32" s="1"/>
  <c r="AD63" i="32"/>
  <c r="AL59" i="32"/>
  <c r="AL63" i="32" s="1"/>
  <c r="AD237" i="32"/>
  <c r="AD89" i="32"/>
  <c r="AL88" i="32"/>
  <c r="AD58" i="31"/>
  <c r="W17" i="47" s="1"/>
  <c r="AP69" i="31"/>
  <c r="AP27" i="31"/>
  <c r="AP58" i="31" s="1"/>
  <c r="AI17" i="47" s="1"/>
  <c r="AD46" i="31"/>
  <c r="AL43" i="31"/>
  <c r="AL46" i="31" s="1"/>
  <c r="AL63" i="31"/>
  <c r="AA61" i="31"/>
  <c r="AB58" i="31"/>
  <c r="U17" i="47" s="1"/>
  <c r="AM61" i="31"/>
  <c r="AP46" i="31"/>
  <c r="AP63" i="31"/>
  <c r="AD51" i="31"/>
  <c r="AL47" i="31"/>
  <c r="AD69" i="31"/>
  <c r="AL26" i="31"/>
  <c r="AL69" i="31" s="1"/>
  <c r="AL71" i="31"/>
  <c r="AL22" i="31"/>
  <c r="AD63" i="31"/>
  <c r="AO27" i="31"/>
  <c r="AO62" i="31"/>
  <c r="AO46" i="31"/>
  <c r="AO63" i="31"/>
  <c r="AL39" i="31"/>
  <c r="AP62" i="31"/>
  <c r="AD91" i="30"/>
  <c r="AL20" i="30"/>
  <c r="AL91" i="30" s="1"/>
  <c r="AD62" i="30"/>
  <c r="AL60" i="30"/>
  <c r="AL62" i="30" s="1"/>
  <c r="AA80" i="30"/>
  <c r="T16" i="47" s="1"/>
  <c r="AD34" i="30"/>
  <c r="AL30" i="30"/>
  <c r="AL34" i="30" s="1"/>
  <c r="AA83" i="30"/>
  <c r="AP93" i="30"/>
  <c r="AP16" i="30"/>
  <c r="AM80" i="30"/>
  <c r="AP84" i="30"/>
  <c r="AP14" i="30"/>
  <c r="AD85" i="30"/>
  <c r="AD22" i="30"/>
  <c r="AL17" i="30"/>
  <c r="AD93" i="30"/>
  <c r="AD16" i="30"/>
  <c r="AL15" i="30"/>
  <c r="AP85" i="30"/>
  <c r="AP22" i="30"/>
  <c r="AO93" i="30"/>
  <c r="AO16" i="30"/>
  <c r="AM83" i="30"/>
  <c r="AD84" i="30"/>
  <c r="AD14" i="30"/>
  <c r="AL12" i="30"/>
  <c r="AO85" i="30"/>
  <c r="AO22" i="30"/>
  <c r="AD27" i="30"/>
  <c r="AL23" i="30"/>
  <c r="AL27" i="30" s="1"/>
  <c r="Z83" i="30"/>
  <c r="AB80" i="30"/>
  <c r="U16" i="47" s="1"/>
  <c r="AL87" i="30"/>
  <c r="AO84" i="30"/>
  <c r="AO14" i="30"/>
  <c r="AB83" i="30"/>
  <c r="Z152" i="29"/>
  <c r="AL53" i="29"/>
  <c r="AL54" i="29" s="1"/>
  <c r="AD54" i="29"/>
  <c r="AD22" i="29"/>
  <c r="AL20" i="29"/>
  <c r="AL22" i="29" s="1"/>
  <c r="AM152" i="29"/>
  <c r="AD81" i="29"/>
  <c r="AL77" i="29"/>
  <c r="AL81" i="29" s="1"/>
  <c r="AD157" i="29"/>
  <c r="AD71" i="29"/>
  <c r="AL67" i="29"/>
  <c r="AD164" i="29"/>
  <c r="AD112" i="29"/>
  <c r="AL111" i="29"/>
  <c r="AP156" i="29"/>
  <c r="AP16" i="29"/>
  <c r="AD25" i="29"/>
  <c r="AL23" i="29"/>
  <c r="AL25" i="29" s="1"/>
  <c r="AP164" i="29"/>
  <c r="AP112" i="29"/>
  <c r="AO164" i="29"/>
  <c r="AO112" i="29"/>
  <c r="AD39" i="29"/>
  <c r="AL37" i="29"/>
  <c r="AL39" i="29" s="1"/>
  <c r="AD110" i="29"/>
  <c r="AP165" i="29"/>
  <c r="AP13" i="29"/>
  <c r="AD64" i="29"/>
  <c r="AL61" i="29"/>
  <c r="AL64" i="29" s="1"/>
  <c r="AO157" i="29"/>
  <c r="AO71" i="29"/>
  <c r="AD57" i="29"/>
  <c r="AL55" i="29"/>
  <c r="AL57" i="29" s="1"/>
  <c r="AA152" i="29"/>
  <c r="T15" i="47" s="1"/>
  <c r="AB155" i="29"/>
  <c r="AO165" i="29"/>
  <c r="AO13" i="29"/>
  <c r="AL34" i="29"/>
  <c r="AL36" i="29" s="1"/>
  <c r="AD36" i="29"/>
  <c r="AD45" i="29"/>
  <c r="AL43" i="29"/>
  <c r="AL45" i="29" s="1"/>
  <c r="AD165" i="29"/>
  <c r="AD13" i="29"/>
  <c r="AL12" i="29"/>
  <c r="AP157" i="29"/>
  <c r="AP71" i="29"/>
  <c r="AD19" i="29"/>
  <c r="AL18" i="29"/>
  <c r="AD48" i="29"/>
  <c r="AL46" i="29"/>
  <c r="AL48" i="29" s="1"/>
  <c r="AL163" i="29"/>
  <c r="AD86" i="29"/>
  <c r="AL82" i="29"/>
  <c r="AL86" i="29" s="1"/>
  <c r="AA155" i="29"/>
  <c r="Z155" i="29"/>
  <c r="AD163" i="29"/>
  <c r="AO152" i="29" l="1"/>
  <c r="AH15" i="47" s="1"/>
  <c r="AP152" i="29"/>
  <c r="AI15" i="47" s="1"/>
  <c r="AP61" i="31"/>
  <c r="AD59" i="31"/>
  <c r="AD80" i="30"/>
  <c r="W16" i="47" s="1"/>
  <c r="AO80" i="30"/>
  <c r="AH16" i="47" s="1"/>
  <c r="AD81" i="30"/>
  <c r="S16" i="47"/>
  <c r="AD155" i="29"/>
  <c r="AD153" i="29"/>
  <c r="S15" i="47"/>
  <c r="AD154" i="29"/>
  <c r="AD227" i="32"/>
  <c r="AD226" i="32"/>
  <c r="S18" i="47"/>
  <c r="AP228" i="32"/>
  <c r="AF18" i="47"/>
  <c r="AP80" i="30"/>
  <c r="AI16" i="47" s="1"/>
  <c r="AP83" i="30"/>
  <c r="AO83" i="30"/>
  <c r="AF16" i="47"/>
  <c r="AP155" i="29"/>
  <c r="AF15" i="47"/>
  <c r="AO228" i="32"/>
  <c r="AD60" i="31"/>
  <c r="AO61" i="31"/>
  <c r="AL60" i="31" s="1"/>
  <c r="AD61" i="31"/>
  <c r="AD83" i="30"/>
  <c r="AD82" i="30"/>
  <c r="AO155" i="29"/>
  <c r="AL238" i="32"/>
  <c r="AL13" i="32"/>
  <c r="AL237" i="32"/>
  <c r="AL89" i="32"/>
  <c r="AD225" i="32"/>
  <c r="W18" i="47" s="1"/>
  <c r="AL229" i="32"/>
  <c r="AD228" i="32"/>
  <c r="AO225" i="32"/>
  <c r="AH18" i="47" s="1"/>
  <c r="AL230" i="32"/>
  <c r="AL41" i="32"/>
  <c r="AP225" i="32"/>
  <c r="AI18" i="47" s="1"/>
  <c r="AL97" i="32"/>
  <c r="AO58" i="31"/>
  <c r="AL51" i="31"/>
  <c r="AL62" i="31"/>
  <c r="AL61" i="31" s="1"/>
  <c r="AL27" i="31"/>
  <c r="AL85" i="30"/>
  <c r="AL22" i="30"/>
  <c r="AL84" i="30"/>
  <c r="AL14" i="30"/>
  <c r="AL93" i="30"/>
  <c r="AL16" i="30"/>
  <c r="AL157" i="29"/>
  <c r="AL71" i="29"/>
  <c r="AL165" i="29"/>
  <c r="AL13" i="29"/>
  <c r="AL164" i="29"/>
  <c r="AL112" i="29"/>
  <c r="AD152" i="29"/>
  <c r="W15" i="47" s="1"/>
  <c r="AL19" i="29"/>
  <c r="AL156" i="29"/>
  <c r="AL153" i="29" l="1"/>
  <c r="AL82" i="30"/>
  <c r="AL81" i="30"/>
  <c r="AL154" i="29"/>
  <c r="AL227" i="32"/>
  <c r="AL226" i="32"/>
  <c r="AH17" i="47"/>
  <c r="AL59" i="31"/>
  <c r="AL80" i="30"/>
  <c r="AE16" i="47" s="1"/>
  <c r="AL83" i="30"/>
  <c r="AL155" i="29"/>
  <c r="AL228" i="32"/>
  <c r="AL225" i="32"/>
  <c r="AE18" i="47" s="1"/>
  <c r="AL58" i="31"/>
  <c r="AE17" i="47" s="1"/>
  <c r="AL152" i="29"/>
  <c r="AE15" i="47" s="1"/>
  <c r="AJ165" i="42" l="1"/>
  <c r="AI165" i="42"/>
  <c r="AH165" i="42"/>
  <c r="AG165" i="42"/>
  <c r="AF165" i="42"/>
  <c r="AE165" i="42"/>
  <c r="AC165" i="42"/>
  <c r="X165" i="42"/>
  <c r="W165" i="42"/>
  <c r="V165" i="42"/>
  <c r="T165" i="42"/>
  <c r="S165" i="42"/>
  <c r="R165" i="42"/>
  <c r="Q165" i="42"/>
  <c r="P165" i="42"/>
  <c r="N165" i="42"/>
  <c r="M165" i="42"/>
  <c r="J165" i="42"/>
  <c r="AJ164" i="42"/>
  <c r="AI164" i="42"/>
  <c r="AH164" i="42"/>
  <c r="AG164" i="42"/>
  <c r="AF164" i="42"/>
  <c r="AE164" i="42"/>
  <c r="AC164" i="42"/>
  <c r="X164" i="42"/>
  <c r="W164" i="42"/>
  <c r="V164" i="42"/>
  <c r="T164" i="42"/>
  <c r="S164" i="42"/>
  <c r="R164" i="42"/>
  <c r="Q164" i="42"/>
  <c r="P164" i="42"/>
  <c r="N164" i="42"/>
  <c r="M164" i="42"/>
  <c r="J164" i="42"/>
  <c r="AJ163" i="42"/>
  <c r="AI163" i="42"/>
  <c r="AH163" i="42"/>
  <c r="AG163" i="42"/>
  <c r="AF163" i="42"/>
  <c r="AE163" i="42"/>
  <c r="AC163" i="42"/>
  <c r="X163" i="42"/>
  <c r="W163" i="42"/>
  <c r="V163" i="42"/>
  <c r="T163" i="42"/>
  <c r="S163" i="42"/>
  <c r="R163" i="42"/>
  <c r="Q163" i="42"/>
  <c r="P163" i="42"/>
  <c r="N163" i="42"/>
  <c r="M163" i="42"/>
  <c r="J163" i="42"/>
  <c r="AR162" i="42"/>
  <c r="AQ162" i="42"/>
  <c r="AP162" i="42"/>
  <c r="AO162" i="42"/>
  <c r="AN162" i="42"/>
  <c r="AM162" i="42"/>
  <c r="AL162" i="42"/>
  <c r="AK162" i="42"/>
  <c r="AJ162" i="42"/>
  <c r="AI162" i="42"/>
  <c r="AH162" i="42"/>
  <c r="AG162" i="42"/>
  <c r="AF162" i="42"/>
  <c r="AE162" i="42"/>
  <c r="AD162" i="42"/>
  <c r="AC162" i="42"/>
  <c r="AB162" i="42"/>
  <c r="AA162" i="42"/>
  <c r="Z162" i="42"/>
  <c r="Y162" i="42"/>
  <c r="X162" i="42"/>
  <c r="W162" i="42"/>
  <c r="V162" i="42"/>
  <c r="U162" i="42"/>
  <c r="T162" i="42"/>
  <c r="S162" i="42"/>
  <c r="R162" i="42"/>
  <c r="Q162" i="42"/>
  <c r="P162" i="42"/>
  <c r="O162" i="42"/>
  <c r="N162" i="42"/>
  <c r="M162" i="42"/>
  <c r="L162" i="42"/>
  <c r="K162" i="42"/>
  <c r="J162" i="42"/>
  <c r="I162" i="42"/>
  <c r="AR161" i="42"/>
  <c r="AQ161" i="42"/>
  <c r="AP161" i="42"/>
  <c r="AO161" i="42"/>
  <c r="AN161" i="42"/>
  <c r="AM161" i="42"/>
  <c r="AL161" i="42"/>
  <c r="AK161" i="42"/>
  <c r="AJ161" i="42"/>
  <c r="AI161" i="42"/>
  <c r="AH161" i="42"/>
  <c r="AG161" i="42"/>
  <c r="AF161" i="42"/>
  <c r="AE161" i="42"/>
  <c r="AD161" i="42"/>
  <c r="AC161" i="42"/>
  <c r="AB161" i="42"/>
  <c r="AA161" i="42"/>
  <c r="Z161" i="42"/>
  <c r="Y161" i="42"/>
  <c r="X161" i="42"/>
  <c r="W161" i="42"/>
  <c r="V161" i="42"/>
  <c r="U161" i="42"/>
  <c r="T161" i="42"/>
  <c r="S161" i="42"/>
  <c r="R161" i="42"/>
  <c r="Q161" i="42"/>
  <c r="P161" i="42"/>
  <c r="O161" i="42"/>
  <c r="N161" i="42"/>
  <c r="M161" i="42"/>
  <c r="L161" i="42"/>
  <c r="K161" i="42"/>
  <c r="J161" i="42"/>
  <c r="I161" i="42"/>
  <c r="AR160" i="42"/>
  <c r="AQ160" i="42"/>
  <c r="AP160" i="42"/>
  <c r="AO160" i="42"/>
  <c r="AN160" i="42"/>
  <c r="AM160" i="42"/>
  <c r="AL160" i="42"/>
  <c r="AK160" i="42"/>
  <c r="AJ160" i="42"/>
  <c r="AI160" i="42"/>
  <c r="AH160" i="42"/>
  <c r="AG160" i="42"/>
  <c r="AF160" i="42"/>
  <c r="AE160" i="42"/>
  <c r="AD160" i="42"/>
  <c r="AC160" i="42"/>
  <c r="AB160" i="42"/>
  <c r="AA160" i="42"/>
  <c r="Z160" i="42"/>
  <c r="Y160" i="42"/>
  <c r="X160" i="42"/>
  <c r="W160" i="42"/>
  <c r="V160" i="42"/>
  <c r="U160" i="42"/>
  <c r="T160" i="42"/>
  <c r="S160" i="42"/>
  <c r="R160" i="42"/>
  <c r="Q160" i="42"/>
  <c r="P160" i="42"/>
  <c r="O160" i="42"/>
  <c r="N160" i="42"/>
  <c r="M160" i="42"/>
  <c r="L160" i="42"/>
  <c r="K160" i="42"/>
  <c r="J160" i="42"/>
  <c r="I160" i="42"/>
  <c r="AJ159" i="42"/>
  <c r="AI159" i="42"/>
  <c r="AH159" i="42"/>
  <c r="AG159" i="42"/>
  <c r="AE159" i="42"/>
  <c r="AC159" i="42"/>
  <c r="X159" i="42"/>
  <c r="W159" i="42"/>
  <c r="V159" i="42"/>
  <c r="T159" i="42"/>
  <c r="S159" i="42"/>
  <c r="R159" i="42"/>
  <c r="Q159" i="42"/>
  <c r="N159" i="42"/>
  <c r="M159" i="42"/>
  <c r="J159" i="42"/>
  <c r="AJ158" i="42"/>
  <c r="AI158" i="42"/>
  <c r="AH158" i="42"/>
  <c r="AG158" i="42"/>
  <c r="AF158" i="42"/>
  <c r="AE158" i="42"/>
  <c r="AC158" i="42"/>
  <c r="X158" i="42"/>
  <c r="W158" i="42"/>
  <c r="V158" i="42"/>
  <c r="T158" i="42"/>
  <c r="S158" i="42"/>
  <c r="R158" i="42"/>
  <c r="Q158" i="42"/>
  <c r="P158" i="42"/>
  <c r="N158" i="42"/>
  <c r="M158" i="42"/>
  <c r="J158" i="42"/>
  <c r="AJ157" i="42"/>
  <c r="AI157" i="42"/>
  <c r="AH157" i="42"/>
  <c r="AG157" i="42"/>
  <c r="AE157" i="42"/>
  <c r="AC157" i="42"/>
  <c r="X157" i="42"/>
  <c r="W157" i="42"/>
  <c r="V157" i="42"/>
  <c r="T157" i="42"/>
  <c r="S157" i="42"/>
  <c r="R157" i="42"/>
  <c r="Q157" i="42"/>
  <c r="N157" i="42"/>
  <c r="M157" i="42"/>
  <c r="J157" i="42"/>
  <c r="AJ156" i="42"/>
  <c r="AI156" i="42"/>
  <c r="AH156" i="42"/>
  <c r="AG156" i="42"/>
  <c r="AG155" i="42" s="1"/>
  <c r="AF156" i="42"/>
  <c r="AE156" i="42"/>
  <c r="AC156" i="42"/>
  <c r="X156" i="42"/>
  <c r="W156" i="42"/>
  <c r="V156" i="42"/>
  <c r="T156" i="42"/>
  <c r="T155" i="42" s="1"/>
  <c r="S156" i="42"/>
  <c r="R156" i="42"/>
  <c r="Q156" i="42"/>
  <c r="P156" i="42"/>
  <c r="N156" i="42"/>
  <c r="M156" i="42"/>
  <c r="M155" i="42" s="1"/>
  <c r="J156" i="42"/>
  <c r="AJ151" i="42"/>
  <c r="AI151" i="42"/>
  <c r="AH151" i="42"/>
  <c r="AG151" i="42"/>
  <c r="AF151" i="42"/>
  <c r="AE151" i="42"/>
  <c r="AC151" i="42"/>
  <c r="X151" i="42"/>
  <c r="W151" i="42"/>
  <c r="V151" i="42"/>
  <c r="T151" i="42"/>
  <c r="S151" i="42"/>
  <c r="R151" i="42"/>
  <c r="Q151" i="42"/>
  <c r="P151" i="42"/>
  <c r="N151" i="42"/>
  <c r="M151" i="42"/>
  <c r="J151" i="42"/>
  <c r="AQ150" i="42"/>
  <c r="AK150" i="42"/>
  <c r="AR150" i="42" s="1"/>
  <c r="Y150" i="42"/>
  <c r="O150" i="42"/>
  <c r="U150" i="42" s="1"/>
  <c r="L150" i="42"/>
  <c r="K150" i="42"/>
  <c r="AR149" i="42"/>
  <c r="AQ149" i="42"/>
  <c r="AK149" i="42"/>
  <c r="Y149" i="42"/>
  <c r="AN149" i="42" s="1"/>
  <c r="O149" i="42"/>
  <c r="U149" i="42" s="1"/>
  <c r="L149" i="42"/>
  <c r="K149" i="42"/>
  <c r="AQ148" i="42"/>
  <c r="AK148" i="42"/>
  <c r="AR148" i="42" s="1"/>
  <c r="Y148" i="42"/>
  <c r="O148" i="42"/>
  <c r="U148" i="42" s="1"/>
  <c r="AM148" i="42" s="1"/>
  <c r="L148" i="42"/>
  <c r="K148" i="42"/>
  <c r="AQ147" i="42"/>
  <c r="AK147" i="42"/>
  <c r="Y147" i="42"/>
  <c r="AN147" i="42" s="1"/>
  <c r="O147" i="42"/>
  <c r="O151" i="42" s="1"/>
  <c r="L147" i="42"/>
  <c r="K147" i="42"/>
  <c r="AJ146" i="42"/>
  <c r="AI146" i="42"/>
  <c r="AH146" i="42"/>
  <c r="AG146" i="42"/>
  <c r="AF146" i="42"/>
  <c r="AE146" i="42"/>
  <c r="AC146" i="42"/>
  <c r="X146" i="42"/>
  <c r="W146" i="42"/>
  <c r="V146" i="42"/>
  <c r="T146" i="42"/>
  <c r="S146" i="42"/>
  <c r="R146" i="42"/>
  <c r="Q146" i="42"/>
  <c r="P146" i="42"/>
  <c r="N146" i="42"/>
  <c r="M146" i="42"/>
  <c r="J146" i="42"/>
  <c r="AQ145" i="42"/>
  <c r="AK145" i="42"/>
  <c r="AR145" i="42" s="1"/>
  <c r="Y145" i="42"/>
  <c r="U145" i="42"/>
  <c r="AM145" i="42" s="1"/>
  <c r="O145" i="42"/>
  <c r="L145" i="42"/>
  <c r="K145" i="42"/>
  <c r="AQ144" i="42"/>
  <c r="AK144" i="42"/>
  <c r="AR144" i="42" s="1"/>
  <c r="Y144" i="42"/>
  <c r="AN144" i="42" s="1"/>
  <c r="O144" i="42"/>
  <c r="U144" i="42" s="1"/>
  <c r="L144" i="42"/>
  <c r="K144" i="42"/>
  <c r="AQ143" i="42"/>
  <c r="AK143" i="42"/>
  <c r="AR143" i="42" s="1"/>
  <c r="Y143" i="42"/>
  <c r="AN143" i="42" s="1"/>
  <c r="O143" i="42"/>
  <c r="L143" i="42"/>
  <c r="K143" i="42"/>
  <c r="AJ142" i="42"/>
  <c r="AI142" i="42"/>
  <c r="AH142" i="42"/>
  <c r="AG142" i="42"/>
  <c r="AF142" i="42"/>
  <c r="AE142" i="42"/>
  <c r="AC142" i="42"/>
  <c r="X142" i="42"/>
  <c r="W142" i="42"/>
  <c r="V142" i="42"/>
  <c r="T142" i="42"/>
  <c r="S142" i="42"/>
  <c r="R142" i="42"/>
  <c r="Q142" i="42"/>
  <c r="P142" i="42"/>
  <c r="N142" i="42"/>
  <c r="M142" i="42"/>
  <c r="J142" i="42"/>
  <c r="AQ141" i="42"/>
  <c r="AK141" i="42"/>
  <c r="AR141" i="42" s="1"/>
  <c r="Y141" i="42"/>
  <c r="AN141" i="42" s="1"/>
  <c r="O141" i="42"/>
  <c r="U141" i="42" s="1"/>
  <c r="L141" i="42"/>
  <c r="K141" i="42"/>
  <c r="AQ140" i="42"/>
  <c r="AK140" i="42"/>
  <c r="AR140" i="42" s="1"/>
  <c r="Y140" i="42"/>
  <c r="O140" i="42"/>
  <c r="L140" i="42"/>
  <c r="K140" i="42"/>
  <c r="AQ139" i="42"/>
  <c r="AK139" i="42"/>
  <c r="Y139" i="42"/>
  <c r="AN139" i="42" s="1"/>
  <c r="O139" i="42"/>
  <c r="U139" i="42" s="1"/>
  <c r="L139" i="42"/>
  <c r="K139" i="42"/>
  <c r="AJ138" i="42"/>
  <c r="AI138" i="42"/>
  <c r="AH138" i="42"/>
  <c r="AG138" i="42"/>
  <c r="AF138" i="42"/>
  <c r="AE138" i="42"/>
  <c r="AC138" i="42"/>
  <c r="X138" i="42"/>
  <c r="W138" i="42"/>
  <c r="V138" i="42"/>
  <c r="T138" i="42"/>
  <c r="S138" i="42"/>
  <c r="R138" i="42"/>
  <c r="Q138" i="42"/>
  <c r="P138" i="42"/>
  <c r="N138" i="42"/>
  <c r="M138" i="42"/>
  <c r="J138" i="42"/>
  <c r="AQ137" i="42"/>
  <c r="AK137" i="42"/>
  <c r="AR137" i="42" s="1"/>
  <c r="Y137" i="42"/>
  <c r="AN137" i="42" s="1"/>
  <c r="O137" i="42"/>
  <c r="U137" i="42" s="1"/>
  <c r="L137" i="42"/>
  <c r="K137" i="42"/>
  <c r="AQ136" i="42"/>
  <c r="AK136" i="42"/>
  <c r="AR136" i="42" s="1"/>
  <c r="Y136" i="42"/>
  <c r="AN136" i="42" s="1"/>
  <c r="O136" i="42"/>
  <c r="U136" i="42" s="1"/>
  <c r="AM136" i="42" s="1"/>
  <c r="L136" i="42"/>
  <c r="K136" i="42"/>
  <c r="AQ135" i="42"/>
  <c r="AK135" i="42"/>
  <c r="AR135" i="42" s="1"/>
  <c r="Y135" i="42"/>
  <c r="O135" i="42"/>
  <c r="U135" i="42" s="1"/>
  <c r="AB135" i="42" s="1"/>
  <c r="L135" i="42"/>
  <c r="K135" i="42"/>
  <c r="AQ134" i="42"/>
  <c r="AK134" i="42"/>
  <c r="Y134" i="42"/>
  <c r="U134" i="42"/>
  <c r="AB134" i="42" s="1"/>
  <c r="O134" i="42"/>
  <c r="L134" i="42"/>
  <c r="K134" i="42"/>
  <c r="AJ133" i="42"/>
  <c r="AI133" i="42"/>
  <c r="AH133" i="42"/>
  <c r="AG133" i="42"/>
  <c r="AF133" i="42"/>
  <c r="AE133" i="42"/>
  <c r="AC133" i="42"/>
  <c r="X133" i="42"/>
  <c r="W133" i="42"/>
  <c r="V133" i="42"/>
  <c r="T133" i="42"/>
  <c r="S133" i="42"/>
  <c r="R133" i="42"/>
  <c r="Q133" i="42"/>
  <c r="P133" i="42"/>
  <c r="N133" i="42"/>
  <c r="M133" i="42"/>
  <c r="J133" i="42"/>
  <c r="AQ132" i="42"/>
  <c r="AK132" i="42"/>
  <c r="AR132" i="42" s="1"/>
  <c r="Y132" i="42"/>
  <c r="O132" i="42"/>
  <c r="U132" i="42" s="1"/>
  <c r="L132" i="42"/>
  <c r="K132" i="42"/>
  <c r="AQ131" i="42"/>
  <c r="AK131" i="42"/>
  <c r="AR131" i="42" s="1"/>
  <c r="Y131" i="42"/>
  <c r="P131" i="42"/>
  <c r="O131" i="42"/>
  <c r="U131" i="42" s="1"/>
  <c r="AB131" i="42" s="1"/>
  <c r="L131" i="42"/>
  <c r="K131" i="42"/>
  <c r="AQ130" i="42"/>
  <c r="AK130" i="42"/>
  <c r="Y130" i="42"/>
  <c r="AN130" i="42" s="1"/>
  <c r="O130" i="42"/>
  <c r="U130" i="42" s="1"/>
  <c r="AM130" i="42" s="1"/>
  <c r="L130" i="42"/>
  <c r="K130" i="42"/>
  <c r="AJ129" i="42"/>
  <c r="AI129" i="42"/>
  <c r="AH129" i="42"/>
  <c r="AG129" i="42"/>
  <c r="AF129" i="42"/>
  <c r="AE129" i="42"/>
  <c r="AC129" i="42"/>
  <c r="X129" i="42"/>
  <c r="W129" i="42"/>
  <c r="V129" i="42"/>
  <c r="T129" i="42"/>
  <c r="S129" i="42"/>
  <c r="R129" i="42"/>
  <c r="Q129" i="42"/>
  <c r="P129" i="42"/>
  <c r="N129" i="42"/>
  <c r="M129" i="42"/>
  <c r="J129" i="42"/>
  <c r="AQ128" i="42"/>
  <c r="AK128" i="42"/>
  <c r="AR128" i="42" s="1"/>
  <c r="Y128" i="42"/>
  <c r="AN128" i="42" s="1"/>
  <c r="O128" i="42"/>
  <c r="L128" i="42"/>
  <c r="K128" i="42"/>
  <c r="AQ127" i="42"/>
  <c r="AK127" i="42"/>
  <c r="Y127" i="42"/>
  <c r="O127" i="42"/>
  <c r="U127" i="42" s="1"/>
  <c r="L127" i="42"/>
  <c r="K127" i="42"/>
  <c r="AJ126" i="42"/>
  <c r="AI126" i="42"/>
  <c r="AH126" i="42"/>
  <c r="AG126" i="42"/>
  <c r="AF126" i="42"/>
  <c r="AE126" i="42"/>
  <c r="AC126" i="42"/>
  <c r="X126" i="42"/>
  <c r="W126" i="42"/>
  <c r="V126" i="42"/>
  <c r="T126" i="42"/>
  <c r="S126" i="42"/>
  <c r="R126" i="42"/>
  <c r="Q126" i="42"/>
  <c r="P126" i="42"/>
  <c r="N126" i="42"/>
  <c r="M126" i="42"/>
  <c r="J126" i="42"/>
  <c r="AQ125" i="42"/>
  <c r="AK125" i="42"/>
  <c r="AR125" i="42" s="1"/>
  <c r="Y125" i="42"/>
  <c r="AN125" i="42" s="1"/>
  <c r="O125" i="42"/>
  <c r="U125" i="42" s="1"/>
  <c r="AM125" i="42" s="1"/>
  <c r="L125" i="42"/>
  <c r="K125" i="42"/>
  <c r="AQ124" i="42"/>
  <c r="AK124" i="42"/>
  <c r="AR124" i="42" s="1"/>
  <c r="Y124" i="42"/>
  <c r="AN124" i="42" s="1"/>
  <c r="O124" i="42"/>
  <c r="L124" i="42"/>
  <c r="K124" i="42"/>
  <c r="AQ123" i="42"/>
  <c r="AK123" i="42"/>
  <c r="Y123" i="42"/>
  <c r="O123" i="42"/>
  <c r="U123" i="42" s="1"/>
  <c r="AM123" i="42" s="1"/>
  <c r="L123" i="42"/>
  <c r="K123" i="42"/>
  <c r="AJ122" i="42"/>
  <c r="AI122" i="42"/>
  <c r="AH122" i="42"/>
  <c r="AG122" i="42"/>
  <c r="AF122" i="42"/>
  <c r="AE122" i="42"/>
  <c r="AC122" i="42"/>
  <c r="X122" i="42"/>
  <c r="W122" i="42"/>
  <c r="V122" i="42"/>
  <c r="T122" i="42"/>
  <c r="S122" i="42"/>
  <c r="R122" i="42"/>
  <c r="Q122" i="42"/>
  <c r="P122" i="42"/>
  <c r="N122" i="42"/>
  <c r="M122" i="42"/>
  <c r="J122" i="42"/>
  <c r="AQ121" i="42"/>
  <c r="AQ122" i="42" s="1"/>
  <c r="AK121" i="42"/>
  <c r="AK122" i="42" s="1"/>
  <c r="Y121" i="42"/>
  <c r="AN121" i="42" s="1"/>
  <c r="AN122" i="42" s="1"/>
  <c r="O121" i="42"/>
  <c r="O122" i="42" s="1"/>
  <c r="L121" i="42"/>
  <c r="K121" i="42"/>
  <c r="K122" i="42" s="1"/>
  <c r="AJ120" i="42"/>
  <c r="AI120" i="42"/>
  <c r="AH120" i="42"/>
  <c r="AG120" i="42"/>
  <c r="AF120" i="42"/>
  <c r="AE120" i="42"/>
  <c r="AC120" i="42"/>
  <c r="X120" i="42"/>
  <c r="W120" i="42"/>
  <c r="V120" i="42"/>
  <c r="T120" i="42"/>
  <c r="S120" i="42"/>
  <c r="R120" i="42"/>
  <c r="Q120" i="42"/>
  <c r="P120" i="42"/>
  <c r="N120" i="42"/>
  <c r="M120" i="42"/>
  <c r="J120" i="42"/>
  <c r="AQ119" i="42"/>
  <c r="AK119" i="42"/>
  <c r="AR119" i="42" s="1"/>
  <c r="Y119" i="42"/>
  <c r="AN119" i="42" s="1"/>
  <c r="O119" i="42"/>
  <c r="U119" i="42" s="1"/>
  <c r="L119" i="42"/>
  <c r="K119" i="42"/>
  <c r="AQ118" i="42"/>
  <c r="AK118" i="42"/>
  <c r="AR118" i="42" s="1"/>
  <c r="Y118" i="42"/>
  <c r="AN118" i="42" s="1"/>
  <c r="O118" i="42"/>
  <c r="U118" i="42" s="1"/>
  <c r="L118" i="42"/>
  <c r="K118" i="42"/>
  <c r="I118" i="42" s="1"/>
  <c r="AQ117" i="42"/>
  <c r="AK117" i="42"/>
  <c r="Y117" i="42"/>
  <c r="O117" i="42"/>
  <c r="U117" i="42" s="1"/>
  <c r="L117" i="42"/>
  <c r="I117" i="42" s="1"/>
  <c r="K117" i="42"/>
  <c r="AJ116" i="42"/>
  <c r="AI116" i="42"/>
  <c r="AH116" i="42"/>
  <c r="AG116" i="42"/>
  <c r="AF116" i="42"/>
  <c r="AE116" i="42"/>
  <c r="AC116" i="42"/>
  <c r="X116" i="42"/>
  <c r="W116" i="42"/>
  <c r="V116" i="42"/>
  <c r="T116" i="42"/>
  <c r="S116" i="42"/>
  <c r="R116" i="42"/>
  <c r="Q116" i="42"/>
  <c r="P116" i="42"/>
  <c r="N116" i="42"/>
  <c r="M116" i="42"/>
  <c r="J116" i="42"/>
  <c r="AQ115" i="42"/>
  <c r="AQ116" i="42" s="1"/>
  <c r="AK115" i="42"/>
  <c r="AR115" i="42" s="1"/>
  <c r="AR116" i="42" s="1"/>
  <c r="Y115" i="42"/>
  <c r="AN115" i="42" s="1"/>
  <c r="AN116" i="42" s="1"/>
  <c r="O115" i="42"/>
  <c r="O116" i="42" s="1"/>
  <c r="L115" i="42"/>
  <c r="K115" i="42"/>
  <c r="K116" i="42" s="1"/>
  <c r="AJ114" i="42"/>
  <c r="AI114" i="42"/>
  <c r="AH114" i="42"/>
  <c r="AG114" i="42"/>
  <c r="AF114" i="42"/>
  <c r="AE114" i="42"/>
  <c r="AC114" i="42"/>
  <c r="X114" i="42"/>
  <c r="W114" i="42"/>
  <c r="V114" i="42"/>
  <c r="T114" i="42"/>
  <c r="S114" i="42"/>
  <c r="R114" i="42"/>
  <c r="Q114" i="42"/>
  <c r="P114" i="42"/>
  <c r="N114" i="42"/>
  <c r="M114" i="42"/>
  <c r="J114" i="42"/>
  <c r="AQ113" i="42"/>
  <c r="AK113" i="42"/>
  <c r="AR113" i="42" s="1"/>
  <c r="Y113" i="42"/>
  <c r="O113" i="42"/>
  <c r="U113" i="42" s="1"/>
  <c r="AM113" i="42" s="1"/>
  <c r="L113" i="42"/>
  <c r="K113" i="42"/>
  <c r="AQ112" i="42"/>
  <c r="AK112" i="42"/>
  <c r="AR112" i="42" s="1"/>
  <c r="Y112" i="42"/>
  <c r="AN112" i="42" s="1"/>
  <c r="O112" i="42"/>
  <c r="U112" i="42" s="1"/>
  <c r="L112" i="42"/>
  <c r="K112" i="42"/>
  <c r="AQ111" i="42"/>
  <c r="AK111" i="42"/>
  <c r="AR111" i="42" s="1"/>
  <c r="Y111" i="42"/>
  <c r="AN111" i="42" s="1"/>
  <c r="O111" i="42"/>
  <c r="U111" i="42" s="1"/>
  <c r="AM111" i="42" s="1"/>
  <c r="L111" i="42"/>
  <c r="K111" i="42"/>
  <c r="AQ110" i="42"/>
  <c r="AK110" i="42"/>
  <c r="Y110" i="42"/>
  <c r="AN110" i="42" s="1"/>
  <c r="O110" i="42"/>
  <c r="L110" i="42"/>
  <c r="K110" i="42"/>
  <c r="I110" i="42" s="1"/>
  <c r="AJ109" i="42"/>
  <c r="AI109" i="42"/>
  <c r="AH109" i="42"/>
  <c r="AG109" i="42"/>
  <c r="AF109" i="42"/>
  <c r="AE109" i="42"/>
  <c r="AC109" i="42"/>
  <c r="X109" i="42"/>
  <c r="W109" i="42"/>
  <c r="V109" i="42"/>
  <c r="T109" i="42"/>
  <c r="S109" i="42"/>
  <c r="R109" i="42"/>
  <c r="Q109" i="42"/>
  <c r="P109" i="42"/>
  <c r="N109" i="42"/>
  <c r="M109" i="42"/>
  <c r="J109" i="42"/>
  <c r="AQ108" i="42"/>
  <c r="AK108" i="42"/>
  <c r="AR108" i="42" s="1"/>
  <c r="Y108" i="42"/>
  <c r="AN108" i="42" s="1"/>
  <c r="O108" i="42"/>
  <c r="U108" i="42" s="1"/>
  <c r="AM108" i="42" s="1"/>
  <c r="L108" i="42"/>
  <c r="K108" i="42"/>
  <c r="AQ107" i="42"/>
  <c r="AK107" i="42"/>
  <c r="Y107" i="42"/>
  <c r="AN107" i="42" s="1"/>
  <c r="O107" i="42"/>
  <c r="L107" i="42"/>
  <c r="K107" i="42"/>
  <c r="AJ106" i="42"/>
  <c r="AI106" i="42"/>
  <c r="AH106" i="42"/>
  <c r="AG106" i="42"/>
  <c r="AF106" i="42"/>
  <c r="AE106" i="42"/>
  <c r="AC106" i="42"/>
  <c r="X106" i="42"/>
  <c r="W106" i="42"/>
  <c r="V106" i="42"/>
  <c r="T106" i="42"/>
  <c r="S106" i="42"/>
  <c r="R106" i="42"/>
  <c r="Q106" i="42"/>
  <c r="P106" i="42"/>
  <c r="N106" i="42"/>
  <c r="M106" i="42"/>
  <c r="J106" i="42"/>
  <c r="AQ105" i="42"/>
  <c r="AK105" i="42"/>
  <c r="AR105" i="42" s="1"/>
  <c r="Y105" i="42"/>
  <c r="AN105" i="42" s="1"/>
  <c r="O105" i="42"/>
  <c r="U105" i="42" s="1"/>
  <c r="AB105" i="42" s="1"/>
  <c r="L105" i="42"/>
  <c r="K105" i="42"/>
  <c r="AQ104" i="42"/>
  <c r="AK104" i="42"/>
  <c r="AK106" i="42" s="1"/>
  <c r="Y104" i="42"/>
  <c r="AN104" i="42" s="1"/>
  <c r="O104" i="42"/>
  <c r="U104" i="42" s="1"/>
  <c r="L104" i="42"/>
  <c r="K104" i="42"/>
  <c r="AJ103" i="42"/>
  <c r="AI103" i="42"/>
  <c r="AH103" i="42"/>
  <c r="AG103" i="42"/>
  <c r="AF103" i="42"/>
  <c r="AE103" i="42"/>
  <c r="AC103" i="42"/>
  <c r="X103" i="42"/>
  <c r="W103" i="42"/>
  <c r="V103" i="42"/>
  <c r="T103" i="42"/>
  <c r="S103" i="42"/>
  <c r="R103" i="42"/>
  <c r="Q103" i="42"/>
  <c r="P103" i="42"/>
  <c r="N103" i="42"/>
  <c r="M103" i="42"/>
  <c r="J103" i="42"/>
  <c r="AQ102" i="42"/>
  <c r="AK102" i="42"/>
  <c r="AR102" i="42" s="1"/>
  <c r="Y102" i="42"/>
  <c r="AN102" i="42" s="1"/>
  <c r="O102" i="42"/>
  <c r="U102" i="42" s="1"/>
  <c r="AM102" i="42" s="1"/>
  <c r="L102" i="42"/>
  <c r="K102" i="42"/>
  <c r="AQ101" i="42"/>
  <c r="AK101" i="42"/>
  <c r="AR101" i="42" s="1"/>
  <c r="Y101" i="42"/>
  <c r="AN101" i="42" s="1"/>
  <c r="O101" i="42"/>
  <c r="U101" i="42" s="1"/>
  <c r="L101" i="42"/>
  <c r="K101" i="42"/>
  <c r="AQ100" i="42"/>
  <c r="AK100" i="42"/>
  <c r="Y100" i="42"/>
  <c r="AN100" i="42" s="1"/>
  <c r="O100" i="42"/>
  <c r="U100" i="42" s="1"/>
  <c r="L100" i="42"/>
  <c r="K100" i="42"/>
  <c r="AJ99" i="42"/>
  <c r="AI99" i="42"/>
  <c r="AH99" i="42"/>
  <c r="AG99" i="42"/>
  <c r="AF99" i="42"/>
  <c r="AE99" i="42"/>
  <c r="AC99" i="42"/>
  <c r="X99" i="42"/>
  <c r="W99" i="42"/>
  <c r="V99" i="42"/>
  <c r="T99" i="42"/>
  <c r="S99" i="42"/>
  <c r="R99" i="42"/>
  <c r="Q99" i="42"/>
  <c r="P99" i="42"/>
  <c r="N99" i="42"/>
  <c r="M99" i="42"/>
  <c r="J99" i="42"/>
  <c r="AQ98" i="42"/>
  <c r="AK98" i="42"/>
  <c r="AR98" i="42" s="1"/>
  <c r="AB98" i="42"/>
  <c r="Y98" i="42"/>
  <c r="AN98" i="42" s="1"/>
  <c r="O98" i="42"/>
  <c r="U98" i="42" s="1"/>
  <c r="AM98" i="42" s="1"/>
  <c r="L98" i="42"/>
  <c r="K98" i="42"/>
  <c r="AQ97" i="42"/>
  <c r="AK97" i="42"/>
  <c r="Y97" i="42"/>
  <c r="AN97" i="42" s="1"/>
  <c r="O97" i="42"/>
  <c r="U97" i="42" s="1"/>
  <c r="AA97" i="42" s="1"/>
  <c r="AO97" i="42" s="1"/>
  <c r="L97" i="42"/>
  <c r="K97" i="42"/>
  <c r="AJ96" i="42"/>
  <c r="AI96" i="42"/>
  <c r="AH96" i="42"/>
  <c r="AG96" i="42"/>
  <c r="AF96" i="42"/>
  <c r="AE96" i="42"/>
  <c r="AC96" i="42"/>
  <c r="X96" i="42"/>
  <c r="W96" i="42"/>
  <c r="V96" i="42"/>
  <c r="T96" i="42"/>
  <c r="S96" i="42"/>
  <c r="R96" i="42"/>
  <c r="Q96" i="42"/>
  <c r="N96" i="42"/>
  <c r="M96" i="42"/>
  <c r="J96" i="42"/>
  <c r="AQ95" i="42"/>
  <c r="AK95" i="42"/>
  <c r="AR95" i="42" s="1"/>
  <c r="Y95" i="42"/>
  <c r="AN95" i="42" s="1"/>
  <c r="O95" i="42"/>
  <c r="U95" i="42" s="1"/>
  <c r="L95" i="42"/>
  <c r="K95" i="42"/>
  <c r="AQ94" i="42"/>
  <c r="AF94" i="42"/>
  <c r="AK94" i="42" s="1"/>
  <c r="AR94" i="42" s="1"/>
  <c r="Y94" i="42"/>
  <c r="AN94" i="42" s="1"/>
  <c r="P94" i="42"/>
  <c r="P96" i="42" s="1"/>
  <c r="O94" i="42"/>
  <c r="L94" i="42"/>
  <c r="K94" i="42"/>
  <c r="AQ93" i="42"/>
  <c r="AK93" i="42"/>
  <c r="Y93" i="42"/>
  <c r="O93" i="42"/>
  <c r="U93" i="42" s="1"/>
  <c r="AB93" i="42" s="1"/>
  <c r="L93" i="42"/>
  <c r="K93" i="42"/>
  <c r="AJ92" i="42"/>
  <c r="AI92" i="42"/>
  <c r="AH92" i="42"/>
  <c r="AG92" i="42"/>
  <c r="AF92" i="42"/>
  <c r="AE92" i="42"/>
  <c r="AC92" i="42"/>
  <c r="X92" i="42"/>
  <c r="W92" i="42"/>
  <c r="V92" i="42"/>
  <c r="T92" i="42"/>
  <c r="S92" i="42"/>
  <c r="R92" i="42"/>
  <c r="Q92" i="42"/>
  <c r="P92" i="42"/>
  <c r="N92" i="42"/>
  <c r="M92" i="42"/>
  <c r="J92" i="42"/>
  <c r="AQ91" i="42"/>
  <c r="AK91" i="42"/>
  <c r="AR91" i="42" s="1"/>
  <c r="Y91" i="42"/>
  <c r="AN91" i="42" s="1"/>
  <c r="O91" i="42"/>
  <c r="U91" i="42" s="1"/>
  <c r="L91" i="42"/>
  <c r="K91" i="42"/>
  <c r="AQ90" i="42"/>
  <c r="AK90" i="42"/>
  <c r="AR90" i="42" s="1"/>
  <c r="Y90" i="42"/>
  <c r="AN90" i="42" s="1"/>
  <c r="O90" i="42"/>
  <c r="U90" i="42" s="1"/>
  <c r="L90" i="42"/>
  <c r="K90" i="42"/>
  <c r="AJ89" i="42"/>
  <c r="AI89" i="42"/>
  <c r="AH89" i="42"/>
  <c r="AG89" i="42"/>
  <c r="AF89" i="42"/>
  <c r="AE89" i="42"/>
  <c r="AC89" i="42"/>
  <c r="X89" i="42"/>
  <c r="W89" i="42"/>
  <c r="V89" i="42"/>
  <c r="T89" i="42"/>
  <c r="S89" i="42"/>
  <c r="R89" i="42"/>
  <c r="Q89" i="42"/>
  <c r="P89" i="42"/>
  <c r="N89" i="42"/>
  <c r="M89" i="42"/>
  <c r="J89" i="42"/>
  <c r="AQ88" i="42"/>
  <c r="AK88" i="42"/>
  <c r="AR88" i="42" s="1"/>
  <c r="Y88" i="42"/>
  <c r="AN88" i="42" s="1"/>
  <c r="O88" i="42"/>
  <c r="U88" i="42" s="1"/>
  <c r="L88" i="42"/>
  <c r="K88" i="42"/>
  <c r="AQ87" i="42"/>
  <c r="AK87" i="42"/>
  <c r="AR87" i="42" s="1"/>
  <c r="Y87" i="42"/>
  <c r="AN87" i="42" s="1"/>
  <c r="O87" i="42"/>
  <c r="U87" i="42" s="1"/>
  <c r="AM87" i="42" s="1"/>
  <c r="L87" i="42"/>
  <c r="K87" i="42"/>
  <c r="AQ86" i="42"/>
  <c r="AK86" i="42"/>
  <c r="AR86" i="42" s="1"/>
  <c r="Y86" i="42"/>
  <c r="AN86" i="42" s="1"/>
  <c r="O86" i="42"/>
  <c r="U86" i="42" s="1"/>
  <c r="AM86" i="42" s="1"/>
  <c r="L86" i="42"/>
  <c r="K86" i="42"/>
  <c r="I86" i="42" s="1"/>
  <c r="AQ85" i="42"/>
  <c r="AK85" i="42"/>
  <c r="Y85" i="42"/>
  <c r="O85" i="42"/>
  <c r="U85" i="42" s="1"/>
  <c r="L85" i="42"/>
  <c r="K85" i="42"/>
  <c r="AJ84" i="42"/>
  <c r="AI84" i="42"/>
  <c r="AH84" i="42"/>
  <c r="AG84" i="42"/>
  <c r="AF84" i="42"/>
  <c r="AE84" i="42"/>
  <c r="AC84" i="42"/>
  <c r="X84" i="42"/>
  <c r="W84" i="42"/>
  <c r="V84" i="42"/>
  <c r="T84" i="42"/>
  <c r="S84" i="42"/>
  <c r="R84" i="42"/>
  <c r="Q84" i="42"/>
  <c r="P84" i="42"/>
  <c r="N84" i="42"/>
  <c r="M84" i="42"/>
  <c r="J84" i="42"/>
  <c r="AQ83" i="42"/>
  <c r="AK83" i="42"/>
  <c r="AR83" i="42" s="1"/>
  <c r="Y83" i="42"/>
  <c r="AN83" i="42" s="1"/>
  <c r="O83" i="42"/>
  <c r="U83" i="42" s="1"/>
  <c r="L83" i="42"/>
  <c r="K83" i="42"/>
  <c r="I83" i="42" s="1"/>
  <c r="AQ82" i="42"/>
  <c r="AK82" i="42"/>
  <c r="AR82" i="42" s="1"/>
  <c r="Y82" i="42"/>
  <c r="AN82" i="42" s="1"/>
  <c r="O82" i="42"/>
  <c r="U82" i="42" s="1"/>
  <c r="AM82" i="42" s="1"/>
  <c r="L82" i="42"/>
  <c r="K82" i="42"/>
  <c r="AQ81" i="42"/>
  <c r="AK81" i="42"/>
  <c r="Y81" i="42"/>
  <c r="O81" i="42"/>
  <c r="U81" i="42" s="1"/>
  <c r="L81" i="42"/>
  <c r="K81" i="42"/>
  <c r="AJ80" i="42"/>
  <c r="AI80" i="42"/>
  <c r="AH80" i="42"/>
  <c r="AG80" i="42"/>
  <c r="AF80" i="42"/>
  <c r="AE80" i="42"/>
  <c r="AC80" i="42"/>
  <c r="X80" i="42"/>
  <c r="W80" i="42"/>
  <c r="V80" i="42"/>
  <c r="T80" i="42"/>
  <c r="S80" i="42"/>
  <c r="R80" i="42"/>
  <c r="Q80" i="42"/>
  <c r="P80" i="42"/>
  <c r="N80" i="42"/>
  <c r="M80" i="42"/>
  <c r="J80" i="42"/>
  <c r="AQ79" i="42"/>
  <c r="AK79" i="42"/>
  <c r="AR79" i="42" s="1"/>
  <c r="Y79" i="42"/>
  <c r="AN79" i="42" s="1"/>
  <c r="O79" i="42"/>
  <c r="U79" i="42" s="1"/>
  <c r="AA79" i="42" s="1"/>
  <c r="L79" i="42"/>
  <c r="K79" i="42"/>
  <c r="AQ78" i="42"/>
  <c r="AK78" i="42"/>
  <c r="Y78" i="42"/>
  <c r="O78" i="42"/>
  <c r="L78" i="42"/>
  <c r="K78" i="42"/>
  <c r="K80" i="42" s="1"/>
  <c r="AJ77" i="42"/>
  <c r="AI77" i="42"/>
  <c r="AH77" i="42"/>
  <c r="AG77" i="42"/>
  <c r="AF77" i="42"/>
  <c r="AE77" i="42"/>
  <c r="AC77" i="42"/>
  <c r="X77" i="42"/>
  <c r="W77" i="42"/>
  <c r="V77" i="42"/>
  <c r="T77" i="42"/>
  <c r="S77" i="42"/>
  <c r="R77" i="42"/>
  <c r="Q77" i="42"/>
  <c r="P77" i="42"/>
  <c r="N77" i="42"/>
  <c r="M77" i="42"/>
  <c r="J77" i="42"/>
  <c r="AQ76" i="42"/>
  <c r="AK76" i="42"/>
  <c r="AR76" i="42" s="1"/>
  <c r="Y76" i="42"/>
  <c r="AN76" i="42" s="1"/>
  <c r="O76" i="42"/>
  <c r="U76" i="42" s="1"/>
  <c r="L76" i="42"/>
  <c r="K76" i="42"/>
  <c r="AQ75" i="42"/>
  <c r="AK75" i="42"/>
  <c r="AR75" i="42" s="1"/>
  <c r="Y75" i="42"/>
  <c r="AN75" i="42" s="1"/>
  <c r="O75" i="42"/>
  <c r="U75" i="42" s="1"/>
  <c r="AA75" i="42" s="1"/>
  <c r="L75" i="42"/>
  <c r="K75" i="42"/>
  <c r="AQ74" i="42"/>
  <c r="AK74" i="42"/>
  <c r="AR74" i="42" s="1"/>
  <c r="Y74" i="42"/>
  <c r="AN74" i="42" s="1"/>
  <c r="O74" i="42"/>
  <c r="U74" i="42" s="1"/>
  <c r="L74" i="42"/>
  <c r="K74" i="42"/>
  <c r="AQ73" i="42"/>
  <c r="AK73" i="42"/>
  <c r="Y73" i="42"/>
  <c r="O73" i="42"/>
  <c r="U73" i="42" s="1"/>
  <c r="L73" i="42"/>
  <c r="K73" i="42"/>
  <c r="AJ72" i="42"/>
  <c r="AI72" i="42"/>
  <c r="AH72" i="42"/>
  <c r="AG72" i="42"/>
  <c r="AF72" i="42"/>
  <c r="AE72" i="42"/>
  <c r="AC72" i="42"/>
  <c r="X72" i="42"/>
  <c r="W72" i="42"/>
  <c r="V72" i="42"/>
  <c r="T72" i="42"/>
  <c r="S72" i="42"/>
  <c r="R72" i="42"/>
  <c r="Q72" i="42"/>
  <c r="P72" i="42"/>
  <c r="N72" i="42"/>
  <c r="M72" i="42"/>
  <c r="J72" i="42"/>
  <c r="AQ71" i="42"/>
  <c r="AK71" i="42"/>
  <c r="AR71" i="42" s="1"/>
  <c r="Y71" i="42"/>
  <c r="AN71" i="42" s="1"/>
  <c r="O71" i="42"/>
  <c r="U71" i="42" s="1"/>
  <c r="L71" i="42"/>
  <c r="I71" i="42" s="1"/>
  <c r="K71" i="42"/>
  <c r="AQ70" i="42"/>
  <c r="AK70" i="42"/>
  <c r="Y70" i="42"/>
  <c r="O70" i="42"/>
  <c r="U70" i="42" s="1"/>
  <c r="L70" i="42"/>
  <c r="K70" i="42"/>
  <c r="AJ69" i="42"/>
  <c r="AI69" i="42"/>
  <c r="AH69" i="42"/>
  <c r="AG69" i="42"/>
  <c r="AF69" i="42"/>
  <c r="AE69" i="42"/>
  <c r="AC69" i="42"/>
  <c r="X69" i="42"/>
  <c r="W69" i="42"/>
  <c r="V69" i="42"/>
  <c r="T69" i="42"/>
  <c r="S69" i="42"/>
  <c r="R69" i="42"/>
  <c r="Q69" i="42"/>
  <c r="P69" i="42"/>
  <c r="N69" i="42"/>
  <c r="M69" i="42"/>
  <c r="J69" i="42"/>
  <c r="AQ68" i="42"/>
  <c r="AK68" i="42"/>
  <c r="AR68" i="42" s="1"/>
  <c r="Y68" i="42"/>
  <c r="AN68" i="42" s="1"/>
  <c r="O68" i="42"/>
  <c r="U68" i="42" s="1"/>
  <c r="L68" i="42"/>
  <c r="K68" i="42"/>
  <c r="AQ67" i="42"/>
  <c r="AK67" i="42"/>
  <c r="AR67" i="42" s="1"/>
  <c r="Y67" i="42"/>
  <c r="AN67" i="42" s="1"/>
  <c r="O67" i="42"/>
  <c r="U67" i="42" s="1"/>
  <c r="L67" i="42"/>
  <c r="K67" i="42"/>
  <c r="AQ66" i="42"/>
  <c r="AK66" i="42"/>
  <c r="AR66" i="42" s="1"/>
  <c r="Y66" i="42"/>
  <c r="AN66" i="42" s="1"/>
  <c r="O66" i="42"/>
  <c r="U66" i="42" s="1"/>
  <c r="L66" i="42"/>
  <c r="K66" i="42"/>
  <c r="AQ65" i="42"/>
  <c r="AQ69" i="42" s="1"/>
  <c r="AK65" i="42"/>
  <c r="Y65" i="42"/>
  <c r="U65" i="42"/>
  <c r="O65" i="42"/>
  <c r="L65" i="42"/>
  <c r="K65" i="42"/>
  <c r="AJ64" i="42"/>
  <c r="AI64" i="42"/>
  <c r="AH64" i="42"/>
  <c r="AG64" i="42"/>
  <c r="AF64" i="42"/>
  <c r="AE64" i="42"/>
  <c r="AC64" i="42"/>
  <c r="X64" i="42"/>
  <c r="W64" i="42"/>
  <c r="V64" i="42"/>
  <c r="T64" i="42"/>
  <c r="S64" i="42"/>
  <c r="R64" i="42"/>
  <c r="Q64" i="42"/>
  <c r="P64" i="42"/>
  <c r="N64" i="42"/>
  <c r="M64" i="42"/>
  <c r="J64" i="42"/>
  <c r="AQ63" i="42"/>
  <c r="AQ164" i="42" s="1"/>
  <c r="AK63" i="42"/>
  <c r="AK164" i="42" s="1"/>
  <c r="Y63" i="42"/>
  <c r="Y164" i="42" s="1"/>
  <c r="O63" i="42"/>
  <c r="O164" i="42" s="1"/>
  <c r="L63" i="42"/>
  <c r="L164" i="42" s="1"/>
  <c r="K63" i="42"/>
  <c r="K164" i="42" s="1"/>
  <c r="AJ62" i="42"/>
  <c r="AI62" i="42"/>
  <c r="AH62" i="42"/>
  <c r="AG62" i="42"/>
  <c r="AF62" i="42"/>
  <c r="AE62" i="42"/>
  <c r="AC62" i="42"/>
  <c r="X62" i="42"/>
  <c r="W62" i="42"/>
  <c r="V62" i="42"/>
  <c r="T62" i="42"/>
  <c r="S62" i="42"/>
  <c r="R62" i="42"/>
  <c r="Q62" i="42"/>
  <c r="P62" i="42"/>
  <c r="N62" i="42"/>
  <c r="M62" i="42"/>
  <c r="J62" i="42"/>
  <c r="AQ61" i="42"/>
  <c r="AK61" i="42"/>
  <c r="AR61" i="42" s="1"/>
  <c r="Y61" i="42"/>
  <c r="AN61" i="42" s="1"/>
  <c r="O61" i="42"/>
  <c r="U61" i="42" s="1"/>
  <c r="L61" i="42"/>
  <c r="K61" i="42"/>
  <c r="AQ60" i="42"/>
  <c r="AK60" i="42"/>
  <c r="AR60" i="42" s="1"/>
  <c r="Y60" i="42"/>
  <c r="AN60" i="42" s="1"/>
  <c r="O60" i="42"/>
  <c r="U60" i="42" s="1"/>
  <c r="L60" i="42"/>
  <c r="K60" i="42"/>
  <c r="AQ59" i="42"/>
  <c r="AK59" i="42"/>
  <c r="AR59" i="42" s="1"/>
  <c r="Y59" i="42"/>
  <c r="AN59" i="42" s="1"/>
  <c r="O59" i="42"/>
  <c r="U59" i="42" s="1"/>
  <c r="L59" i="42"/>
  <c r="K59" i="42"/>
  <c r="AQ58" i="42"/>
  <c r="AK58" i="42"/>
  <c r="AR58" i="42" s="1"/>
  <c r="Y58" i="42"/>
  <c r="AN58" i="42" s="1"/>
  <c r="O58" i="42"/>
  <c r="U58" i="42" s="1"/>
  <c r="L58" i="42"/>
  <c r="K58" i="42"/>
  <c r="I58" i="42" s="1"/>
  <c r="AQ57" i="42"/>
  <c r="AK57" i="42"/>
  <c r="AR57" i="42" s="1"/>
  <c r="Y57" i="42"/>
  <c r="AN57" i="42" s="1"/>
  <c r="O57" i="42"/>
  <c r="L57" i="42"/>
  <c r="K57" i="42"/>
  <c r="I57" i="42" s="1"/>
  <c r="AJ56" i="42"/>
  <c r="AI56" i="42"/>
  <c r="AH56" i="42"/>
  <c r="AG56" i="42"/>
  <c r="AF56" i="42"/>
  <c r="AE56" i="42"/>
  <c r="AC56" i="42"/>
  <c r="X56" i="42"/>
  <c r="W56" i="42"/>
  <c r="V56" i="42"/>
  <c r="T56" i="42"/>
  <c r="S56" i="42"/>
  <c r="R56" i="42"/>
  <c r="Q56" i="42"/>
  <c r="P56" i="42"/>
  <c r="N56" i="42"/>
  <c r="M56" i="42"/>
  <c r="J56" i="42"/>
  <c r="AQ55" i="42"/>
  <c r="AK55" i="42"/>
  <c r="AR55" i="42" s="1"/>
  <c r="Y55" i="42"/>
  <c r="AN55" i="42" s="1"/>
  <c r="O55" i="42"/>
  <c r="U55" i="42" s="1"/>
  <c r="L55" i="42"/>
  <c r="K55" i="42"/>
  <c r="AQ54" i="42"/>
  <c r="AK54" i="42"/>
  <c r="AR54" i="42" s="1"/>
  <c r="Y54" i="42"/>
  <c r="AN54" i="42" s="1"/>
  <c r="O54" i="42"/>
  <c r="U54" i="42" s="1"/>
  <c r="L54" i="42"/>
  <c r="K54" i="42"/>
  <c r="AQ53" i="42"/>
  <c r="AK53" i="42"/>
  <c r="AR53" i="42" s="1"/>
  <c r="Y53" i="42"/>
  <c r="AN53" i="42" s="1"/>
  <c r="O53" i="42"/>
  <c r="O56" i="42" s="1"/>
  <c r="L53" i="42"/>
  <c r="K53" i="42"/>
  <c r="AJ52" i="42"/>
  <c r="AI52" i="42"/>
  <c r="AH52" i="42"/>
  <c r="AG52" i="42"/>
  <c r="AF52" i="42"/>
  <c r="AE52" i="42"/>
  <c r="AC52" i="42"/>
  <c r="X52" i="42"/>
  <c r="W52" i="42"/>
  <c r="V52" i="42"/>
  <c r="T52" i="42"/>
  <c r="S52" i="42"/>
  <c r="R52" i="42"/>
  <c r="Q52" i="42"/>
  <c r="N52" i="42"/>
  <c r="M52" i="42"/>
  <c r="J52" i="42"/>
  <c r="AQ51" i="42"/>
  <c r="AK51" i="42"/>
  <c r="AR51" i="42" s="1"/>
  <c r="Y51" i="42"/>
  <c r="AN51" i="42" s="1"/>
  <c r="O51" i="42"/>
  <c r="U51" i="42" s="1"/>
  <c r="AA51" i="42" s="1"/>
  <c r="L51" i="42"/>
  <c r="K51" i="42"/>
  <c r="AQ50" i="42"/>
  <c r="AK50" i="42"/>
  <c r="AR50" i="42" s="1"/>
  <c r="AF50" i="42"/>
  <c r="AF159" i="42" s="1"/>
  <c r="Y50" i="42"/>
  <c r="P50" i="42"/>
  <c r="O50" i="42"/>
  <c r="L50" i="42"/>
  <c r="K50" i="42"/>
  <c r="AQ49" i="42"/>
  <c r="AK49" i="42"/>
  <c r="Y49" i="42"/>
  <c r="O49" i="42"/>
  <c r="L49" i="42"/>
  <c r="K49" i="42"/>
  <c r="AJ48" i="42"/>
  <c r="AI48" i="42"/>
  <c r="AH48" i="42"/>
  <c r="AG48" i="42"/>
  <c r="AF48" i="42"/>
  <c r="AE48" i="42"/>
  <c r="AC48" i="42"/>
  <c r="X48" i="42"/>
  <c r="W48" i="42"/>
  <c r="V48" i="42"/>
  <c r="T48" i="42"/>
  <c r="S48" i="42"/>
  <c r="R48" i="42"/>
  <c r="Q48" i="42"/>
  <c r="P48" i="42"/>
  <c r="N48" i="42"/>
  <c r="M48" i="42"/>
  <c r="J48" i="42"/>
  <c r="AQ47" i="42"/>
  <c r="AK47" i="42"/>
  <c r="AR47" i="42" s="1"/>
  <c r="Y47" i="42"/>
  <c r="AN47" i="42" s="1"/>
  <c r="O47" i="42"/>
  <c r="U47" i="42" s="1"/>
  <c r="L47" i="42"/>
  <c r="K47" i="42"/>
  <c r="AQ46" i="42"/>
  <c r="AK46" i="42"/>
  <c r="AR46" i="42" s="1"/>
  <c r="Y46" i="42"/>
  <c r="AN46" i="42" s="1"/>
  <c r="O46" i="42"/>
  <c r="U46" i="42" s="1"/>
  <c r="L46" i="42"/>
  <c r="K46" i="42"/>
  <c r="AQ45" i="42"/>
  <c r="AK45" i="42"/>
  <c r="AR45" i="42" s="1"/>
  <c r="Y45" i="42"/>
  <c r="AN45" i="42" s="1"/>
  <c r="O45" i="42"/>
  <c r="U45" i="42" s="1"/>
  <c r="L45" i="42"/>
  <c r="K45" i="42"/>
  <c r="AQ44" i="42"/>
  <c r="AK44" i="42"/>
  <c r="AR44" i="42" s="1"/>
  <c r="Y44" i="42"/>
  <c r="AN44" i="42" s="1"/>
  <c r="O44" i="42"/>
  <c r="L44" i="42"/>
  <c r="K44" i="42"/>
  <c r="AJ43" i="42"/>
  <c r="AI43" i="42"/>
  <c r="AH43" i="42"/>
  <c r="AG43" i="42"/>
  <c r="AF43" i="42"/>
  <c r="AE43" i="42"/>
  <c r="AC43" i="42"/>
  <c r="X43" i="42"/>
  <c r="W43" i="42"/>
  <c r="V43" i="42"/>
  <c r="T43" i="42"/>
  <c r="S43" i="42"/>
  <c r="R43" i="42"/>
  <c r="Q43" i="42"/>
  <c r="N43" i="42"/>
  <c r="M43" i="42"/>
  <c r="J43" i="42"/>
  <c r="AQ42" i="42"/>
  <c r="AK42" i="42"/>
  <c r="AR42" i="42" s="1"/>
  <c r="Y42" i="42"/>
  <c r="AN42" i="42" s="1"/>
  <c r="O42" i="42"/>
  <c r="U42" i="42" s="1"/>
  <c r="AA42" i="42" s="1"/>
  <c r="AO42" i="42" s="1"/>
  <c r="L42" i="42"/>
  <c r="K42" i="42"/>
  <c r="AQ41" i="42"/>
  <c r="AK41" i="42"/>
  <c r="AR41" i="42" s="1"/>
  <c r="AF41" i="42"/>
  <c r="AF157" i="42" s="1"/>
  <c r="Y41" i="42"/>
  <c r="AN41" i="42" s="1"/>
  <c r="P41" i="42"/>
  <c r="O41" i="42"/>
  <c r="L41" i="42"/>
  <c r="K41" i="42"/>
  <c r="AQ40" i="42"/>
  <c r="AK40" i="42"/>
  <c r="AR40" i="42" s="1"/>
  <c r="Y40" i="42"/>
  <c r="AN40" i="42" s="1"/>
  <c r="O40" i="42"/>
  <c r="U40" i="42" s="1"/>
  <c r="L40" i="42"/>
  <c r="K40" i="42"/>
  <c r="AQ39" i="42"/>
  <c r="AK39" i="42"/>
  <c r="Y39" i="42"/>
  <c r="AN39" i="42" s="1"/>
  <c r="O39" i="42"/>
  <c r="U39" i="42" s="1"/>
  <c r="L39" i="42"/>
  <c r="K39" i="42"/>
  <c r="AJ38" i="42"/>
  <c r="AI38" i="42"/>
  <c r="AH38" i="42"/>
  <c r="AG38" i="42"/>
  <c r="AF38" i="42"/>
  <c r="AE38" i="42"/>
  <c r="AC38" i="42"/>
  <c r="X38" i="42"/>
  <c r="W38" i="42"/>
  <c r="V38" i="42"/>
  <c r="T38" i="42"/>
  <c r="S38" i="42"/>
  <c r="R38" i="42"/>
  <c r="Q38" i="42"/>
  <c r="P38" i="42"/>
  <c r="N38" i="42"/>
  <c r="M38" i="42"/>
  <c r="J38" i="42"/>
  <c r="AQ37" i="42"/>
  <c r="AQ165" i="42" s="1"/>
  <c r="AK37" i="42"/>
  <c r="AK165" i="42" s="1"/>
  <c r="Y37" i="42"/>
  <c r="Y165" i="42" s="1"/>
  <c r="O37" i="42"/>
  <c r="O165" i="42" s="1"/>
  <c r="L37" i="42"/>
  <c r="L165" i="42" s="1"/>
  <c r="K37" i="42"/>
  <c r="K165" i="42" s="1"/>
  <c r="AJ36" i="42"/>
  <c r="AI36" i="42"/>
  <c r="AH36" i="42"/>
  <c r="AG36" i="42"/>
  <c r="AF36" i="42"/>
  <c r="AE36" i="42"/>
  <c r="AC36" i="42"/>
  <c r="X36" i="42"/>
  <c r="W36" i="42"/>
  <c r="V36" i="42"/>
  <c r="T36" i="42"/>
  <c r="S36" i="42"/>
  <c r="R36" i="42"/>
  <c r="Q36" i="42"/>
  <c r="P36" i="42"/>
  <c r="N36" i="42"/>
  <c r="M36" i="42"/>
  <c r="J36" i="42"/>
  <c r="AQ35" i="42"/>
  <c r="AK35" i="42"/>
  <c r="AR35" i="42" s="1"/>
  <c r="Y35" i="42"/>
  <c r="AN35" i="42" s="1"/>
  <c r="O35" i="42"/>
  <c r="U35" i="42" s="1"/>
  <c r="AB35" i="42" s="1"/>
  <c r="L35" i="42"/>
  <c r="K35" i="42"/>
  <c r="AQ34" i="42"/>
  <c r="AK34" i="42"/>
  <c r="Y34" i="42"/>
  <c r="O34" i="42"/>
  <c r="L34" i="42"/>
  <c r="K34" i="42"/>
  <c r="AJ33" i="42"/>
  <c r="AI33" i="42"/>
  <c r="AH33" i="42"/>
  <c r="AG33" i="42"/>
  <c r="AF33" i="42"/>
  <c r="AE33" i="42"/>
  <c r="AC33" i="42"/>
  <c r="X33" i="42"/>
  <c r="W33" i="42"/>
  <c r="V33" i="42"/>
  <c r="T33" i="42"/>
  <c r="S33" i="42"/>
  <c r="R33" i="42"/>
  <c r="Q33" i="42"/>
  <c r="P33" i="42"/>
  <c r="N33" i="42"/>
  <c r="M33" i="42"/>
  <c r="J33" i="42"/>
  <c r="AQ32" i="42"/>
  <c r="AQ33" i="42" s="1"/>
  <c r="AK32" i="42"/>
  <c r="AR32" i="42" s="1"/>
  <c r="AR33" i="42" s="1"/>
  <c r="Y32" i="42"/>
  <c r="Y33" i="42" s="1"/>
  <c r="O32" i="42"/>
  <c r="O33" i="42" s="1"/>
  <c r="L32" i="42"/>
  <c r="L33" i="42" s="1"/>
  <c r="K32" i="42"/>
  <c r="K33" i="42" s="1"/>
  <c r="AJ31" i="42"/>
  <c r="AI31" i="42"/>
  <c r="AH31" i="42"/>
  <c r="AG31" i="42"/>
  <c r="AF31" i="42"/>
  <c r="AE31" i="42"/>
  <c r="AC31" i="42"/>
  <c r="X31" i="42"/>
  <c r="W31" i="42"/>
  <c r="V31" i="42"/>
  <c r="T31" i="42"/>
  <c r="S31" i="42"/>
  <c r="R31" i="42"/>
  <c r="Q31" i="42"/>
  <c r="P31" i="42"/>
  <c r="N31" i="42"/>
  <c r="M31" i="42"/>
  <c r="J31" i="42"/>
  <c r="AQ30" i="42"/>
  <c r="AK30" i="42"/>
  <c r="AR30" i="42" s="1"/>
  <c r="Y30" i="42"/>
  <c r="AN30" i="42" s="1"/>
  <c r="U30" i="42"/>
  <c r="AB30" i="42" s="1"/>
  <c r="O30" i="42"/>
  <c r="L30" i="42"/>
  <c r="AP30" i="42" s="1"/>
  <c r="K30" i="42"/>
  <c r="AQ29" i="42"/>
  <c r="AK29" i="42"/>
  <c r="Y29" i="42"/>
  <c r="AN29" i="42" s="1"/>
  <c r="O29" i="42"/>
  <c r="L29" i="42"/>
  <c r="K29" i="42"/>
  <c r="AJ28" i="42"/>
  <c r="AI28" i="42"/>
  <c r="AH28" i="42"/>
  <c r="AG28" i="42"/>
  <c r="AF28" i="42"/>
  <c r="AE28" i="42"/>
  <c r="AC28" i="42"/>
  <c r="X28" i="42"/>
  <c r="W28" i="42"/>
  <c r="V28" i="42"/>
  <c r="T28" i="42"/>
  <c r="S28" i="42"/>
  <c r="R28" i="42"/>
  <c r="Q28" i="42"/>
  <c r="P28" i="42"/>
  <c r="N28" i="42"/>
  <c r="M28" i="42"/>
  <c r="J28" i="42"/>
  <c r="AQ27" i="42"/>
  <c r="AK27" i="42"/>
  <c r="AR27" i="42" s="1"/>
  <c r="Y27" i="42"/>
  <c r="AN27" i="42" s="1"/>
  <c r="O27" i="42"/>
  <c r="U27" i="42" s="1"/>
  <c r="AB27" i="42" s="1"/>
  <c r="L27" i="42"/>
  <c r="K27" i="42"/>
  <c r="AQ26" i="42"/>
  <c r="AK26" i="42"/>
  <c r="AR26" i="42" s="1"/>
  <c r="Y26" i="42"/>
  <c r="O26" i="42"/>
  <c r="L26" i="42"/>
  <c r="K26" i="42"/>
  <c r="AJ25" i="42"/>
  <c r="AI25" i="42"/>
  <c r="AH25" i="42"/>
  <c r="AG25" i="42"/>
  <c r="AF25" i="42"/>
  <c r="AE25" i="42"/>
  <c r="AC25" i="42"/>
  <c r="X25" i="42"/>
  <c r="W25" i="42"/>
  <c r="V25" i="42"/>
  <c r="T25" i="42"/>
  <c r="S25" i="42"/>
  <c r="R25" i="42"/>
  <c r="Q25" i="42"/>
  <c r="P25" i="42"/>
  <c r="N25" i="42"/>
  <c r="M25" i="42"/>
  <c r="J25" i="42"/>
  <c r="AQ24" i="42"/>
  <c r="AK24" i="42"/>
  <c r="AR24" i="42" s="1"/>
  <c r="Y24" i="42"/>
  <c r="AN24" i="42" s="1"/>
  <c r="O24" i="42"/>
  <c r="U24" i="42" s="1"/>
  <c r="AB24" i="42" s="1"/>
  <c r="L24" i="42"/>
  <c r="K24" i="42"/>
  <c r="AQ23" i="42"/>
  <c r="AK23" i="42"/>
  <c r="AK25" i="42" s="1"/>
  <c r="Y23" i="42"/>
  <c r="AN23" i="42" s="1"/>
  <c r="O23" i="42"/>
  <c r="L23" i="42"/>
  <c r="K23" i="42"/>
  <c r="AJ22" i="42"/>
  <c r="AI22" i="42"/>
  <c r="AH22" i="42"/>
  <c r="AG22" i="42"/>
  <c r="AF22" i="42"/>
  <c r="AE22" i="42"/>
  <c r="AC22" i="42"/>
  <c r="X22" i="42"/>
  <c r="W22" i="42"/>
  <c r="V22" i="42"/>
  <c r="T22" i="42"/>
  <c r="S22" i="42"/>
  <c r="R22" i="42"/>
  <c r="Q22" i="42"/>
  <c r="P22" i="42"/>
  <c r="N22" i="42"/>
  <c r="M22" i="42"/>
  <c r="J22" i="42"/>
  <c r="AQ21" i="42"/>
  <c r="AK21" i="42"/>
  <c r="AR21" i="42" s="1"/>
  <c r="Y21" i="42"/>
  <c r="AN21" i="42" s="1"/>
  <c r="O21" i="42"/>
  <c r="U21" i="42" s="1"/>
  <c r="AB21" i="42" s="1"/>
  <c r="L21" i="42"/>
  <c r="K21" i="42"/>
  <c r="AQ20" i="42"/>
  <c r="AK20" i="42"/>
  <c r="Y20" i="42"/>
  <c r="AN20" i="42" s="1"/>
  <c r="O20" i="42"/>
  <c r="L20" i="42"/>
  <c r="K20" i="42"/>
  <c r="AJ19" i="42"/>
  <c r="AI19" i="42"/>
  <c r="AH19" i="42"/>
  <c r="AG19" i="42"/>
  <c r="AF19" i="42"/>
  <c r="AE19" i="42"/>
  <c r="AC19" i="42"/>
  <c r="X19" i="42"/>
  <c r="W19" i="42"/>
  <c r="V19" i="42"/>
  <c r="T19" i="42"/>
  <c r="S19" i="42"/>
  <c r="R19" i="42"/>
  <c r="Q19" i="42"/>
  <c r="P19" i="42"/>
  <c r="N19" i="42"/>
  <c r="M19" i="42"/>
  <c r="J19" i="42"/>
  <c r="AQ18" i="42"/>
  <c r="AK18" i="42"/>
  <c r="AR18" i="42" s="1"/>
  <c r="Y18" i="42"/>
  <c r="AN18" i="42" s="1"/>
  <c r="O18" i="42"/>
  <c r="U18" i="42" s="1"/>
  <c r="AB18" i="42" s="1"/>
  <c r="L18" i="42"/>
  <c r="K18" i="42"/>
  <c r="AQ17" i="42"/>
  <c r="AK17" i="42"/>
  <c r="Y17" i="42"/>
  <c r="AN17" i="42" s="1"/>
  <c r="O17" i="42"/>
  <c r="U17" i="42" s="1"/>
  <c r="L17" i="42"/>
  <c r="K17" i="42"/>
  <c r="AQ16" i="42"/>
  <c r="AK16" i="42"/>
  <c r="AR16" i="42" s="1"/>
  <c r="Y16" i="42"/>
  <c r="AN16" i="42" s="1"/>
  <c r="O16" i="42"/>
  <c r="U16" i="42" s="1"/>
  <c r="AB16" i="42" s="1"/>
  <c r="L16" i="42"/>
  <c r="K16" i="42"/>
  <c r="AQ15" i="42"/>
  <c r="AK15" i="42"/>
  <c r="AR15" i="42" s="1"/>
  <c r="Y15" i="42"/>
  <c r="AN15" i="42" s="1"/>
  <c r="O15" i="42"/>
  <c r="U15" i="42" s="1"/>
  <c r="AB15" i="42" s="1"/>
  <c r="L15" i="42"/>
  <c r="K15" i="42"/>
  <c r="AQ14" i="42"/>
  <c r="AK14" i="42"/>
  <c r="Y14" i="42"/>
  <c r="AN14" i="42" s="1"/>
  <c r="O14" i="42"/>
  <c r="U14" i="42" s="1"/>
  <c r="L14" i="42"/>
  <c r="K14" i="42"/>
  <c r="AQ13" i="42"/>
  <c r="AK13" i="42"/>
  <c r="AR13" i="42" s="1"/>
  <c r="Y13" i="42"/>
  <c r="AN13" i="42" s="1"/>
  <c r="O13" i="42"/>
  <c r="U13" i="42" s="1"/>
  <c r="AB13" i="42" s="1"/>
  <c r="L13" i="42"/>
  <c r="K13" i="42"/>
  <c r="AQ12" i="42"/>
  <c r="AK12" i="42"/>
  <c r="Y12" i="42"/>
  <c r="AN12" i="42" s="1"/>
  <c r="O12" i="42"/>
  <c r="U12" i="42" s="1"/>
  <c r="L12" i="42"/>
  <c r="K12" i="42"/>
  <c r="AJ121" i="41"/>
  <c r="AI121" i="41"/>
  <c r="AH121" i="41"/>
  <c r="AG121" i="41"/>
  <c r="AF121" i="41"/>
  <c r="AE121" i="41"/>
  <c r="AC121" i="41"/>
  <c r="X121" i="41"/>
  <c r="W121" i="41"/>
  <c r="V121" i="41"/>
  <c r="T121" i="41"/>
  <c r="S121" i="41"/>
  <c r="R121" i="41"/>
  <c r="Q121" i="41"/>
  <c r="P121" i="41"/>
  <c r="N121" i="41"/>
  <c r="M121" i="41"/>
  <c r="J121" i="41"/>
  <c r="AJ120" i="41"/>
  <c r="AI120" i="41"/>
  <c r="AH120" i="41"/>
  <c r="AG120" i="41"/>
  <c r="AF120" i="41"/>
  <c r="AE120" i="41"/>
  <c r="AC120" i="41"/>
  <c r="X120" i="41"/>
  <c r="W120" i="41"/>
  <c r="V120" i="41"/>
  <c r="T120" i="41"/>
  <c r="S120" i="41"/>
  <c r="R120" i="41"/>
  <c r="Q120" i="41"/>
  <c r="P120" i="41"/>
  <c r="N120" i="41"/>
  <c r="M120" i="41"/>
  <c r="J120" i="41"/>
  <c r="AJ119" i="41"/>
  <c r="AI119" i="41"/>
  <c r="AH119" i="41"/>
  <c r="AG119" i="41"/>
  <c r="AF119" i="41"/>
  <c r="AE119" i="41"/>
  <c r="AC119" i="41"/>
  <c r="X119" i="41"/>
  <c r="W119" i="41"/>
  <c r="V119" i="41"/>
  <c r="T119" i="41"/>
  <c r="S119" i="41"/>
  <c r="R119" i="41"/>
  <c r="Q119" i="41"/>
  <c r="P119" i="41"/>
  <c r="N119" i="41"/>
  <c r="M119" i="41"/>
  <c r="J119" i="41"/>
  <c r="AR118" i="41"/>
  <c r="AQ118" i="41"/>
  <c r="AP118" i="41"/>
  <c r="AO118" i="41"/>
  <c r="AN118" i="41"/>
  <c r="AM118" i="41"/>
  <c r="AL118" i="41"/>
  <c r="AK118" i="41"/>
  <c r="AJ118" i="41"/>
  <c r="AI118" i="41"/>
  <c r="AH118" i="41"/>
  <c r="AG118" i="41"/>
  <c r="AF118" i="41"/>
  <c r="AE118" i="41"/>
  <c r="AD118" i="41"/>
  <c r="AC118" i="41"/>
  <c r="AB118" i="41"/>
  <c r="AA118" i="41"/>
  <c r="Z118" i="41"/>
  <c r="Y118" i="41"/>
  <c r="X118" i="41"/>
  <c r="W118" i="41"/>
  <c r="V118" i="41"/>
  <c r="U118" i="41"/>
  <c r="T118" i="41"/>
  <c r="S118" i="41"/>
  <c r="R118" i="41"/>
  <c r="Q118" i="41"/>
  <c r="P118" i="41"/>
  <c r="O118" i="41"/>
  <c r="N118" i="41"/>
  <c r="M118" i="41"/>
  <c r="L118" i="41"/>
  <c r="K118" i="41"/>
  <c r="J118" i="41"/>
  <c r="I118" i="41"/>
  <c r="AR117" i="41"/>
  <c r="AQ117" i="41"/>
  <c r="AP117" i="41"/>
  <c r="AO117" i="41"/>
  <c r="AN117" i="41"/>
  <c r="AM117" i="41"/>
  <c r="AL117" i="41"/>
  <c r="AK117" i="41"/>
  <c r="AJ117" i="41"/>
  <c r="AI117" i="41"/>
  <c r="AH117" i="41"/>
  <c r="AG117" i="41"/>
  <c r="AF117" i="41"/>
  <c r="AE117" i="41"/>
  <c r="AD117" i="41"/>
  <c r="AC117" i="41"/>
  <c r="AB117" i="41"/>
  <c r="AA117" i="41"/>
  <c r="Z117" i="41"/>
  <c r="Y117" i="41"/>
  <c r="X117" i="41"/>
  <c r="W117" i="41"/>
  <c r="V117" i="41"/>
  <c r="U117" i="41"/>
  <c r="T117" i="41"/>
  <c r="S117" i="41"/>
  <c r="R117" i="41"/>
  <c r="Q117" i="41"/>
  <c r="P117" i="41"/>
  <c r="O117" i="41"/>
  <c r="N117" i="41"/>
  <c r="M117" i="41"/>
  <c r="L117" i="41"/>
  <c r="K117" i="41"/>
  <c r="J117" i="41"/>
  <c r="I117" i="41"/>
  <c r="AR116" i="41"/>
  <c r="AQ116" i="41"/>
  <c r="AP116" i="41"/>
  <c r="AO116" i="41"/>
  <c r="AN116" i="41"/>
  <c r="AM116" i="41"/>
  <c r="AL116" i="41"/>
  <c r="AK116" i="41"/>
  <c r="AJ116" i="41"/>
  <c r="AI116" i="41"/>
  <c r="AH116" i="41"/>
  <c r="AG116" i="41"/>
  <c r="AF116" i="41"/>
  <c r="AE116" i="41"/>
  <c r="AD116" i="41"/>
  <c r="AC116" i="41"/>
  <c r="AB116" i="41"/>
  <c r="AA116" i="41"/>
  <c r="Z116" i="41"/>
  <c r="Y116" i="41"/>
  <c r="X116" i="41"/>
  <c r="W116" i="41"/>
  <c r="V116" i="41"/>
  <c r="U116" i="41"/>
  <c r="T116" i="41"/>
  <c r="S116" i="41"/>
  <c r="R116" i="41"/>
  <c r="Q116" i="41"/>
  <c r="P116" i="41"/>
  <c r="O116" i="41"/>
  <c r="N116" i="41"/>
  <c r="M116" i="41"/>
  <c r="L116" i="41"/>
  <c r="K116" i="41"/>
  <c r="J116" i="41"/>
  <c r="I116" i="41"/>
  <c r="AJ115" i="41"/>
  <c r="AI115" i="41"/>
  <c r="AH115" i="41"/>
  <c r="AG115" i="41"/>
  <c r="AE115" i="41"/>
  <c r="AC115" i="41"/>
  <c r="X115" i="41"/>
  <c r="W115" i="41"/>
  <c r="V115" i="41"/>
  <c r="T115" i="41"/>
  <c r="S115" i="41"/>
  <c r="R115" i="41"/>
  <c r="Q115" i="41"/>
  <c r="N115" i="41"/>
  <c r="M115" i="41"/>
  <c r="J115" i="41"/>
  <c r="AR114" i="41"/>
  <c r="AQ114" i="41"/>
  <c r="AP114" i="41"/>
  <c r="AO114" i="41"/>
  <c r="AN114" i="41"/>
  <c r="AM114" i="41"/>
  <c r="AL114" i="41"/>
  <c r="AK114" i="41"/>
  <c r="AJ114" i="41"/>
  <c r="AI114" i="41"/>
  <c r="AH114" i="41"/>
  <c r="AH111" i="41" s="1"/>
  <c r="AG114" i="41"/>
  <c r="AF114" i="41"/>
  <c r="AE114" i="41"/>
  <c r="AD114" i="41"/>
  <c r="AC114" i="41"/>
  <c r="AB114" i="41"/>
  <c r="AA114" i="41"/>
  <c r="Z114" i="41"/>
  <c r="Y114" i="41"/>
  <c r="X114" i="41"/>
  <c r="W114" i="41"/>
  <c r="V114" i="41"/>
  <c r="U114" i="41"/>
  <c r="T114" i="41"/>
  <c r="S114" i="41"/>
  <c r="R114" i="41"/>
  <c r="Q114" i="41"/>
  <c r="P114" i="41"/>
  <c r="O114" i="41"/>
  <c r="N114" i="41"/>
  <c r="M114" i="41"/>
  <c r="L114" i="41"/>
  <c r="K114" i="41"/>
  <c r="J114" i="41"/>
  <c r="I114" i="41"/>
  <c r="AJ113" i="41"/>
  <c r="AI113" i="41"/>
  <c r="AH113" i="41"/>
  <c r="AG113" i="41"/>
  <c r="AE113" i="41"/>
  <c r="AC113" i="41"/>
  <c r="X113" i="41"/>
  <c r="W113" i="41"/>
  <c r="V113" i="41"/>
  <c r="T113" i="41"/>
  <c r="S113" i="41"/>
  <c r="R113" i="41"/>
  <c r="Q113" i="41"/>
  <c r="N113" i="41"/>
  <c r="M113" i="41"/>
  <c r="J113" i="41"/>
  <c r="AJ112" i="41"/>
  <c r="AI112" i="41"/>
  <c r="AH112" i="41"/>
  <c r="AG112" i="41"/>
  <c r="AF112" i="41"/>
  <c r="AE112" i="41"/>
  <c r="AC112" i="41"/>
  <c r="X112" i="41"/>
  <c r="W112" i="41"/>
  <c r="V112" i="41"/>
  <c r="T112" i="41"/>
  <c r="S112" i="41"/>
  <c r="R112" i="41"/>
  <c r="Q112" i="41"/>
  <c r="P112" i="41"/>
  <c r="N112" i="41"/>
  <c r="M112" i="41"/>
  <c r="J112" i="41"/>
  <c r="AJ107" i="41"/>
  <c r="AI107" i="41"/>
  <c r="AH107" i="41"/>
  <c r="AG107" i="41"/>
  <c r="AF107" i="41"/>
  <c r="AE107" i="41"/>
  <c r="AC107" i="41"/>
  <c r="X107" i="41"/>
  <c r="W107" i="41"/>
  <c r="V107" i="41"/>
  <c r="T107" i="41"/>
  <c r="S107" i="41"/>
  <c r="R107" i="41"/>
  <c r="Q107" i="41"/>
  <c r="P107" i="41"/>
  <c r="N107" i="41"/>
  <c r="J107" i="41"/>
  <c r="AQ106" i="41"/>
  <c r="AK106" i="41"/>
  <c r="AR106" i="41" s="1"/>
  <c r="Y106" i="41"/>
  <c r="AN106" i="41" s="1"/>
  <c r="O106" i="41"/>
  <c r="U106" i="41" s="1"/>
  <c r="L106" i="41"/>
  <c r="K106" i="41"/>
  <c r="AQ105" i="41"/>
  <c r="AK105" i="41"/>
  <c r="AR105" i="41" s="1"/>
  <c r="Y105" i="41"/>
  <c r="AN105" i="41" s="1"/>
  <c r="O105" i="41"/>
  <c r="U105" i="41" s="1"/>
  <c r="AB105" i="41" s="1"/>
  <c r="L105" i="41"/>
  <c r="K105" i="41"/>
  <c r="AQ104" i="41"/>
  <c r="AK104" i="41"/>
  <c r="AR104" i="41" s="1"/>
  <c r="Y104" i="41"/>
  <c r="AN104" i="41" s="1"/>
  <c r="O104" i="41"/>
  <c r="U104" i="41" s="1"/>
  <c r="L104" i="41"/>
  <c r="K104" i="41"/>
  <c r="AQ103" i="41"/>
  <c r="AK103" i="41"/>
  <c r="Y103" i="41"/>
  <c r="U103" i="41"/>
  <c r="O103" i="41"/>
  <c r="L103" i="41"/>
  <c r="K103" i="41"/>
  <c r="AJ102" i="41"/>
  <c r="AI102" i="41"/>
  <c r="AH102" i="41"/>
  <c r="AG102" i="41"/>
  <c r="AF102" i="41"/>
  <c r="AE102" i="41"/>
  <c r="AC102" i="41"/>
  <c r="X102" i="41"/>
  <c r="W102" i="41"/>
  <c r="V102" i="41"/>
  <c r="T102" i="41"/>
  <c r="S102" i="41"/>
  <c r="R102" i="41"/>
  <c r="Q102" i="41"/>
  <c r="P102" i="41"/>
  <c r="N102" i="41"/>
  <c r="J102" i="41"/>
  <c r="AQ101" i="41"/>
  <c r="AK101" i="41"/>
  <c r="AR101" i="41" s="1"/>
  <c r="Y101" i="41"/>
  <c r="O101" i="41"/>
  <c r="L101" i="41"/>
  <c r="K101" i="41"/>
  <c r="AQ100" i="41"/>
  <c r="AK100" i="41"/>
  <c r="AR100" i="41" s="1"/>
  <c r="Y100" i="41"/>
  <c r="AN100" i="41" s="1"/>
  <c r="O100" i="41"/>
  <c r="U100" i="41" s="1"/>
  <c r="L100" i="41"/>
  <c r="K100" i="41"/>
  <c r="AQ99" i="41"/>
  <c r="AK99" i="41"/>
  <c r="AR99" i="41" s="1"/>
  <c r="Y99" i="41"/>
  <c r="AN99" i="41" s="1"/>
  <c r="O99" i="41"/>
  <c r="U99" i="41" s="1"/>
  <c r="AB99" i="41" s="1"/>
  <c r="L99" i="41"/>
  <c r="K99" i="41"/>
  <c r="AJ98" i="41"/>
  <c r="AI98" i="41"/>
  <c r="AH98" i="41"/>
  <c r="AG98" i="41"/>
  <c r="AF98" i="41"/>
  <c r="AE98" i="41"/>
  <c r="AC98" i="41"/>
  <c r="X98" i="41"/>
  <c r="W98" i="41"/>
  <c r="V98" i="41"/>
  <c r="T98" i="41"/>
  <c r="S98" i="41"/>
  <c r="R98" i="41"/>
  <c r="Q98" i="41"/>
  <c r="P98" i="41"/>
  <c r="N98" i="41"/>
  <c r="J98" i="41"/>
  <c r="AQ97" i="41"/>
  <c r="AK97" i="41"/>
  <c r="AR97" i="41" s="1"/>
  <c r="Y97" i="41"/>
  <c r="AN97" i="41" s="1"/>
  <c r="O97" i="41"/>
  <c r="U97" i="41" s="1"/>
  <c r="AB97" i="41" s="1"/>
  <c r="L97" i="41"/>
  <c r="K97" i="41"/>
  <c r="AQ96" i="41"/>
  <c r="AK96" i="41"/>
  <c r="AR96" i="41" s="1"/>
  <c r="Y96" i="41"/>
  <c r="AN96" i="41" s="1"/>
  <c r="O96" i="41"/>
  <c r="L96" i="41"/>
  <c r="K96" i="41"/>
  <c r="AJ95" i="41"/>
  <c r="AI95" i="41"/>
  <c r="AH95" i="41"/>
  <c r="AG95" i="41"/>
  <c r="AF95" i="41"/>
  <c r="AE95" i="41"/>
  <c r="AC95" i="41"/>
  <c r="X95" i="41"/>
  <c r="W95" i="41"/>
  <c r="V95" i="41"/>
  <c r="T95" i="41"/>
  <c r="S95" i="41"/>
  <c r="R95" i="41"/>
  <c r="Q95" i="41"/>
  <c r="P95" i="41"/>
  <c r="N95" i="41"/>
  <c r="J95" i="41"/>
  <c r="AQ94" i="41"/>
  <c r="AK94" i="41"/>
  <c r="AR94" i="41" s="1"/>
  <c r="Y94" i="41"/>
  <c r="AN94" i="41" s="1"/>
  <c r="O94" i="41"/>
  <c r="U94" i="41" s="1"/>
  <c r="L94" i="41"/>
  <c r="K94" i="41"/>
  <c r="AQ93" i="41"/>
  <c r="AK93" i="41"/>
  <c r="AR93" i="41" s="1"/>
  <c r="Y93" i="41"/>
  <c r="AN93" i="41" s="1"/>
  <c r="O93" i="41"/>
  <c r="U93" i="41" s="1"/>
  <c r="L93" i="41"/>
  <c r="K93" i="41"/>
  <c r="AQ92" i="41"/>
  <c r="AK92" i="41"/>
  <c r="AR92" i="41" s="1"/>
  <c r="Y92" i="41"/>
  <c r="AN92" i="41" s="1"/>
  <c r="O92" i="41"/>
  <c r="U92" i="41" s="1"/>
  <c r="L92" i="41"/>
  <c r="K92" i="41"/>
  <c r="AQ91" i="41"/>
  <c r="AK91" i="41"/>
  <c r="AR91" i="41" s="1"/>
  <c r="Y91" i="41"/>
  <c r="AN91" i="41" s="1"/>
  <c r="O91" i="41"/>
  <c r="U91" i="41" s="1"/>
  <c r="L91" i="41"/>
  <c r="K91" i="41"/>
  <c r="AQ90" i="41"/>
  <c r="AK90" i="41"/>
  <c r="AR90" i="41" s="1"/>
  <c r="Y90" i="41"/>
  <c r="O90" i="41"/>
  <c r="U90" i="41" s="1"/>
  <c r="AB90" i="41" s="1"/>
  <c r="L90" i="41"/>
  <c r="K90" i="41"/>
  <c r="AQ89" i="41"/>
  <c r="AK89" i="41"/>
  <c r="Y89" i="41"/>
  <c r="U89" i="41"/>
  <c r="AB89" i="41" s="1"/>
  <c r="O89" i="41"/>
  <c r="L89" i="41"/>
  <c r="K89" i="41"/>
  <c r="AJ88" i="41"/>
  <c r="AI88" i="41"/>
  <c r="AH88" i="41"/>
  <c r="AG88" i="41"/>
  <c r="AF88" i="41"/>
  <c r="AE88" i="41"/>
  <c r="AC88" i="41"/>
  <c r="X88" i="41"/>
  <c r="W88" i="41"/>
  <c r="V88" i="41"/>
  <c r="T88" i="41"/>
  <c r="S88" i="41"/>
  <c r="R88" i="41"/>
  <c r="Q88" i="41"/>
  <c r="P88" i="41"/>
  <c r="N88" i="41"/>
  <c r="J88" i="41"/>
  <c r="AQ87" i="41"/>
  <c r="AK87" i="41"/>
  <c r="AR87" i="41" s="1"/>
  <c r="Y87" i="41"/>
  <c r="AN87" i="41" s="1"/>
  <c r="O87" i="41"/>
  <c r="U87" i="41" s="1"/>
  <c r="L87" i="41"/>
  <c r="K87" i="41"/>
  <c r="I87" i="41" s="1"/>
  <c r="AQ86" i="41"/>
  <c r="AK86" i="41"/>
  <c r="AR86" i="41" s="1"/>
  <c r="Y86" i="41"/>
  <c r="AN86" i="41" s="1"/>
  <c r="O86" i="41"/>
  <c r="U86" i="41" s="1"/>
  <c r="L86" i="41"/>
  <c r="K86" i="41"/>
  <c r="AQ85" i="41"/>
  <c r="AK85" i="41"/>
  <c r="AR85" i="41" s="1"/>
  <c r="Y85" i="41"/>
  <c r="AN85" i="41" s="1"/>
  <c r="O85" i="41"/>
  <c r="U85" i="41" s="1"/>
  <c r="L85" i="41"/>
  <c r="K85" i="41"/>
  <c r="I85" i="41" s="1"/>
  <c r="AQ84" i="41"/>
  <c r="AK84" i="41"/>
  <c r="AR84" i="41" s="1"/>
  <c r="Y84" i="41"/>
  <c r="AN84" i="41" s="1"/>
  <c r="O84" i="41"/>
  <c r="U84" i="41" s="1"/>
  <c r="AB84" i="41" s="1"/>
  <c r="L84" i="41"/>
  <c r="K84" i="41"/>
  <c r="AJ83" i="41"/>
  <c r="AI83" i="41"/>
  <c r="AH83" i="41"/>
  <c r="AG83" i="41"/>
  <c r="AF83" i="41"/>
  <c r="AE83" i="41"/>
  <c r="AC83" i="41"/>
  <c r="X83" i="41"/>
  <c r="W83" i="41"/>
  <c r="V83" i="41"/>
  <c r="T83" i="41"/>
  <c r="S83" i="41"/>
  <c r="R83" i="41"/>
  <c r="Q83" i="41"/>
  <c r="P83" i="41"/>
  <c r="N83" i="41"/>
  <c r="J83" i="41"/>
  <c r="AQ82" i="41"/>
  <c r="AQ121" i="41" s="1"/>
  <c r="AK82" i="41"/>
  <c r="Y82" i="41"/>
  <c r="Y121" i="41" s="1"/>
  <c r="O82" i="41"/>
  <c r="O121" i="41" s="1"/>
  <c r="L82" i="41"/>
  <c r="L121" i="41" s="1"/>
  <c r="K82" i="41"/>
  <c r="AQ81" i="41"/>
  <c r="AK81" i="41"/>
  <c r="AR81" i="41" s="1"/>
  <c r="Y81" i="41"/>
  <c r="AN81" i="41" s="1"/>
  <c r="O81" i="41"/>
  <c r="U81" i="41" s="1"/>
  <c r="L81" i="41"/>
  <c r="K81" i="41"/>
  <c r="AQ80" i="41"/>
  <c r="AK80" i="41"/>
  <c r="AR80" i="41" s="1"/>
  <c r="Y80" i="41"/>
  <c r="AN80" i="41" s="1"/>
  <c r="O80" i="41"/>
  <c r="U80" i="41" s="1"/>
  <c r="L80" i="41"/>
  <c r="K80" i="41"/>
  <c r="AQ79" i="41"/>
  <c r="AK79" i="41"/>
  <c r="AR79" i="41" s="1"/>
  <c r="Y79" i="41"/>
  <c r="AN79" i="41" s="1"/>
  <c r="O79" i="41"/>
  <c r="U79" i="41" s="1"/>
  <c r="L79" i="41"/>
  <c r="K79" i="41"/>
  <c r="AQ78" i="41"/>
  <c r="AK78" i="41"/>
  <c r="AR78" i="41" s="1"/>
  <c r="Y78" i="41"/>
  <c r="O78" i="41"/>
  <c r="L78" i="41"/>
  <c r="K78" i="41"/>
  <c r="AJ77" i="41"/>
  <c r="AI77" i="41"/>
  <c r="AH77" i="41"/>
  <c r="AG77" i="41"/>
  <c r="AF77" i="41"/>
  <c r="AE77" i="41"/>
  <c r="AC77" i="41"/>
  <c r="X77" i="41"/>
  <c r="W77" i="41"/>
  <c r="V77" i="41"/>
  <c r="T77" i="41"/>
  <c r="S77" i="41"/>
  <c r="R77" i="41"/>
  <c r="Q77" i="41"/>
  <c r="P77" i="41"/>
  <c r="N77" i="41"/>
  <c r="J77" i="41"/>
  <c r="AQ76" i="41"/>
  <c r="AK76" i="41"/>
  <c r="AR76" i="41" s="1"/>
  <c r="Y76" i="41"/>
  <c r="O76" i="41"/>
  <c r="U76" i="41" s="1"/>
  <c r="L76" i="41"/>
  <c r="K76" i="41"/>
  <c r="AQ75" i="41"/>
  <c r="AK75" i="41"/>
  <c r="AR75" i="41" s="1"/>
  <c r="Y75" i="41"/>
  <c r="AN75" i="41" s="1"/>
  <c r="O75" i="41"/>
  <c r="U75" i="41" s="1"/>
  <c r="AB75" i="41" s="1"/>
  <c r="L75" i="41"/>
  <c r="K75" i="41"/>
  <c r="AJ74" i="41"/>
  <c r="AI74" i="41"/>
  <c r="AH74" i="41"/>
  <c r="AG74" i="41"/>
  <c r="AF74" i="41"/>
  <c r="AE74" i="41"/>
  <c r="AC74" i="41"/>
  <c r="X74" i="41"/>
  <c r="W74" i="41"/>
  <c r="V74" i="41"/>
  <c r="T74" i="41"/>
  <c r="S74" i="41"/>
  <c r="R74" i="41"/>
  <c r="Q74" i="41"/>
  <c r="P74" i="41"/>
  <c r="N74" i="41"/>
  <c r="J74" i="41"/>
  <c r="AQ73" i="41"/>
  <c r="AK73" i="41"/>
  <c r="AR73" i="41" s="1"/>
  <c r="Y73" i="41"/>
  <c r="AN73" i="41" s="1"/>
  <c r="O73" i="41"/>
  <c r="U73" i="41" s="1"/>
  <c r="L73" i="41"/>
  <c r="K73" i="41"/>
  <c r="AQ72" i="41"/>
  <c r="AK72" i="41"/>
  <c r="AR72" i="41" s="1"/>
  <c r="Y72" i="41"/>
  <c r="AN72" i="41" s="1"/>
  <c r="O72" i="41"/>
  <c r="U72" i="41" s="1"/>
  <c r="L72" i="41"/>
  <c r="K72" i="41"/>
  <c r="AQ71" i="41"/>
  <c r="AK71" i="41"/>
  <c r="Y71" i="41"/>
  <c r="O71" i="41"/>
  <c r="U71" i="41" s="1"/>
  <c r="L71" i="41"/>
  <c r="K71" i="41"/>
  <c r="AJ70" i="41"/>
  <c r="AI70" i="41"/>
  <c r="AH70" i="41"/>
  <c r="AG70" i="41"/>
  <c r="AF70" i="41"/>
  <c r="AE70" i="41"/>
  <c r="AC70" i="41"/>
  <c r="X70" i="41"/>
  <c r="W70" i="41"/>
  <c r="V70" i="41"/>
  <c r="T70" i="41"/>
  <c r="S70" i="41"/>
  <c r="R70" i="41"/>
  <c r="Q70" i="41"/>
  <c r="P70" i="41"/>
  <c r="N70" i="41"/>
  <c r="J70" i="41"/>
  <c r="AQ69" i="41"/>
  <c r="AK69" i="41"/>
  <c r="AR69" i="41" s="1"/>
  <c r="Y69" i="41"/>
  <c r="AN69" i="41" s="1"/>
  <c r="O69" i="41"/>
  <c r="U69" i="41" s="1"/>
  <c r="L69" i="41"/>
  <c r="K69" i="41"/>
  <c r="AQ68" i="41"/>
  <c r="AK68" i="41"/>
  <c r="Y68" i="41"/>
  <c r="AN68" i="41" s="1"/>
  <c r="O68" i="41"/>
  <c r="U68" i="41" s="1"/>
  <c r="AA68" i="41" s="1"/>
  <c r="L68" i="41"/>
  <c r="K68" i="41"/>
  <c r="AJ67" i="41"/>
  <c r="AI67" i="41"/>
  <c r="AH67" i="41"/>
  <c r="AG67" i="41"/>
  <c r="AF67" i="41"/>
  <c r="AE67" i="41"/>
  <c r="AC67" i="41"/>
  <c r="X67" i="41"/>
  <c r="W67" i="41"/>
  <c r="V67" i="41"/>
  <c r="T67" i="41"/>
  <c r="S67" i="41"/>
  <c r="R67" i="41"/>
  <c r="Q67" i="41"/>
  <c r="P67" i="41"/>
  <c r="N67" i="41"/>
  <c r="J67" i="41"/>
  <c r="AQ66" i="41"/>
  <c r="AK66" i="41"/>
  <c r="AR66" i="41" s="1"/>
  <c r="Y66" i="41"/>
  <c r="AN66" i="41" s="1"/>
  <c r="O66" i="41"/>
  <c r="U66" i="41" s="1"/>
  <c r="L66" i="41"/>
  <c r="K66" i="41"/>
  <c r="AQ65" i="41"/>
  <c r="AK65" i="41"/>
  <c r="Y65" i="41"/>
  <c r="AN65" i="41" s="1"/>
  <c r="O65" i="41"/>
  <c r="L65" i="41"/>
  <c r="K65" i="41"/>
  <c r="AJ64" i="41"/>
  <c r="AI64" i="41"/>
  <c r="AH64" i="41"/>
  <c r="AG64" i="41"/>
  <c r="AE64" i="41"/>
  <c r="AC64" i="41"/>
  <c r="X64" i="41"/>
  <c r="W64" i="41"/>
  <c r="V64" i="41"/>
  <c r="T64" i="41"/>
  <c r="S64" i="41"/>
  <c r="R64" i="41"/>
  <c r="Q64" i="41"/>
  <c r="N64" i="41"/>
  <c r="J64" i="41"/>
  <c r="AQ63" i="41"/>
  <c r="AK63" i="41"/>
  <c r="AR63" i="41" s="1"/>
  <c r="Y63" i="41"/>
  <c r="AN63" i="41" s="1"/>
  <c r="O63" i="41"/>
  <c r="U63" i="41" s="1"/>
  <c r="AB63" i="41" s="1"/>
  <c r="L63" i="41"/>
  <c r="K63" i="41"/>
  <c r="AQ62" i="41"/>
  <c r="AF62" i="41"/>
  <c r="Y62" i="41"/>
  <c r="AN62" i="41" s="1"/>
  <c r="P62" i="41"/>
  <c r="P115" i="41" s="1"/>
  <c r="O62" i="41"/>
  <c r="U62" i="41" s="1"/>
  <c r="L62" i="41"/>
  <c r="K62" i="41"/>
  <c r="AQ61" i="41"/>
  <c r="AK61" i="41"/>
  <c r="AR61" i="41" s="1"/>
  <c r="Y61" i="41"/>
  <c r="AN61" i="41" s="1"/>
  <c r="O61" i="41"/>
  <c r="U61" i="41" s="1"/>
  <c r="L61" i="41"/>
  <c r="K61" i="41"/>
  <c r="AQ60" i="41"/>
  <c r="AK60" i="41"/>
  <c r="AR60" i="41" s="1"/>
  <c r="Y60" i="41"/>
  <c r="AN60" i="41" s="1"/>
  <c r="O60" i="41"/>
  <c r="U60" i="41" s="1"/>
  <c r="L60" i="41"/>
  <c r="K60" i="41"/>
  <c r="AJ59" i="41"/>
  <c r="AI59" i="41"/>
  <c r="AH59" i="41"/>
  <c r="AG59" i="41"/>
  <c r="AF59" i="41"/>
  <c r="AE59" i="41"/>
  <c r="AC59" i="41"/>
  <c r="X59" i="41"/>
  <c r="W59" i="41"/>
  <c r="V59" i="41"/>
  <c r="T59" i="41"/>
  <c r="S59" i="41"/>
  <c r="R59" i="41"/>
  <c r="Q59" i="41"/>
  <c r="P59" i="41"/>
  <c r="N59" i="41"/>
  <c r="J59" i="41"/>
  <c r="AQ58" i="41"/>
  <c r="AK58" i="41"/>
  <c r="AR58" i="41" s="1"/>
  <c r="Y58" i="41"/>
  <c r="AN58" i="41" s="1"/>
  <c r="O58" i="41"/>
  <c r="U58" i="41" s="1"/>
  <c r="L58" i="41"/>
  <c r="K58" i="41"/>
  <c r="AQ57" i="41"/>
  <c r="AK57" i="41"/>
  <c r="AR57" i="41" s="1"/>
  <c r="Y57" i="41"/>
  <c r="AN57" i="41" s="1"/>
  <c r="O57" i="41"/>
  <c r="U57" i="41" s="1"/>
  <c r="L57" i="41"/>
  <c r="K57" i="41"/>
  <c r="AQ56" i="41"/>
  <c r="AK56" i="41"/>
  <c r="AR56" i="41" s="1"/>
  <c r="Y56" i="41"/>
  <c r="AN56" i="41" s="1"/>
  <c r="U56" i="41"/>
  <c r="O56" i="41"/>
  <c r="L56" i="41"/>
  <c r="K56" i="41"/>
  <c r="AQ55" i="41"/>
  <c r="AK55" i="41"/>
  <c r="Y55" i="41"/>
  <c r="O55" i="41"/>
  <c r="L55" i="41"/>
  <c r="L59" i="41" s="1"/>
  <c r="K55" i="41"/>
  <c r="AJ54" i="41"/>
  <c r="AI54" i="41"/>
  <c r="AH54" i="41"/>
  <c r="AG54" i="41"/>
  <c r="AF54" i="41"/>
  <c r="AE54" i="41"/>
  <c r="AC54" i="41"/>
  <c r="X54" i="41"/>
  <c r="W54" i="41"/>
  <c r="V54" i="41"/>
  <c r="T54" i="41"/>
  <c r="S54" i="41"/>
  <c r="R54" i="41"/>
  <c r="Q54" i="41"/>
  <c r="P54" i="41"/>
  <c r="N54" i="41"/>
  <c r="J54" i="41"/>
  <c r="AQ53" i="41"/>
  <c r="AK53" i="41"/>
  <c r="AR53" i="41" s="1"/>
  <c r="Y53" i="41"/>
  <c r="AN53" i="41" s="1"/>
  <c r="O53" i="41"/>
  <c r="U53" i="41" s="1"/>
  <c r="L53" i="41"/>
  <c r="K53" i="41"/>
  <c r="AQ52" i="41"/>
  <c r="AK52" i="41"/>
  <c r="AR52" i="41" s="1"/>
  <c r="Y52" i="41"/>
  <c r="AN52" i="41" s="1"/>
  <c r="O52" i="41"/>
  <c r="U52" i="41" s="1"/>
  <c r="L52" i="41"/>
  <c r="K52" i="41"/>
  <c r="AJ51" i="41"/>
  <c r="AI51" i="41"/>
  <c r="AH51" i="41"/>
  <c r="AG51" i="41"/>
  <c r="AF51" i="41"/>
  <c r="AE51" i="41"/>
  <c r="AC51" i="41"/>
  <c r="X51" i="41"/>
  <c r="W51" i="41"/>
  <c r="V51" i="41"/>
  <c r="T51" i="41"/>
  <c r="S51" i="41"/>
  <c r="R51" i="41"/>
  <c r="Q51" i="41"/>
  <c r="P51" i="41"/>
  <c r="N51" i="41"/>
  <c r="J51" i="41"/>
  <c r="AQ50" i="41"/>
  <c r="AQ51" i="41" s="1"/>
  <c r="AK50" i="41"/>
  <c r="AK51" i="41" s="1"/>
  <c r="Y50" i="41"/>
  <c r="AN50" i="41" s="1"/>
  <c r="AN51" i="41" s="1"/>
  <c r="O50" i="41"/>
  <c r="U50" i="41" s="1"/>
  <c r="AB50" i="41" s="1"/>
  <c r="AB51" i="41" s="1"/>
  <c r="L50" i="41"/>
  <c r="L51" i="41" s="1"/>
  <c r="K50" i="41"/>
  <c r="K51" i="41" s="1"/>
  <c r="AJ49" i="41"/>
  <c r="AI49" i="41"/>
  <c r="AH49" i="41"/>
  <c r="AG49" i="41"/>
  <c r="AF49" i="41"/>
  <c r="AE49" i="41"/>
  <c r="AC49" i="41"/>
  <c r="X49" i="41"/>
  <c r="W49" i="41"/>
  <c r="V49" i="41"/>
  <c r="T49" i="41"/>
  <c r="S49" i="41"/>
  <c r="R49" i="41"/>
  <c r="Q49" i="41"/>
  <c r="P49" i="41"/>
  <c r="N49" i="41"/>
  <c r="J49" i="41"/>
  <c r="AQ48" i="41"/>
  <c r="AK48" i="41"/>
  <c r="AR48" i="41" s="1"/>
  <c r="Y48" i="41"/>
  <c r="AN48" i="41" s="1"/>
  <c r="O48" i="41"/>
  <c r="U48" i="41" s="1"/>
  <c r="AB48" i="41" s="1"/>
  <c r="L48" i="41"/>
  <c r="K48" i="41"/>
  <c r="AQ47" i="41"/>
  <c r="AK47" i="41"/>
  <c r="AR47" i="41" s="1"/>
  <c r="Y47" i="41"/>
  <c r="AN47" i="41" s="1"/>
  <c r="O47" i="41"/>
  <c r="U47" i="41" s="1"/>
  <c r="AB47" i="41" s="1"/>
  <c r="L47" i="41"/>
  <c r="K47" i="41"/>
  <c r="AQ46" i="41"/>
  <c r="AK46" i="41"/>
  <c r="AR46" i="41" s="1"/>
  <c r="Y46" i="41"/>
  <c r="AN46" i="41" s="1"/>
  <c r="O46" i="41"/>
  <c r="U46" i="41" s="1"/>
  <c r="AB46" i="41" s="1"/>
  <c r="L46" i="41"/>
  <c r="K46" i="41"/>
  <c r="AQ45" i="41"/>
  <c r="AK45" i="41"/>
  <c r="AR45" i="41" s="1"/>
  <c r="Y45" i="41"/>
  <c r="AN45" i="41" s="1"/>
  <c r="O45" i="41"/>
  <c r="U45" i="41" s="1"/>
  <c r="AB45" i="41" s="1"/>
  <c r="L45" i="41"/>
  <c r="K45" i="41"/>
  <c r="AQ44" i="41"/>
  <c r="AK44" i="41"/>
  <c r="Y44" i="41"/>
  <c r="AN44" i="41" s="1"/>
  <c r="O44" i="41"/>
  <c r="L44" i="41"/>
  <c r="K44" i="41"/>
  <c r="AJ43" i="41"/>
  <c r="AI43" i="41"/>
  <c r="AH43" i="41"/>
  <c r="AG43" i="41"/>
  <c r="AF43" i="41"/>
  <c r="AE43" i="41"/>
  <c r="AC43" i="41"/>
  <c r="X43" i="41"/>
  <c r="W43" i="41"/>
  <c r="V43" i="41"/>
  <c r="T43" i="41"/>
  <c r="S43" i="41"/>
  <c r="R43" i="41"/>
  <c r="Q43" i="41"/>
  <c r="N43" i="41"/>
  <c r="J43" i="41"/>
  <c r="AQ42" i="41"/>
  <c r="AK42" i="41"/>
  <c r="AR42" i="41" s="1"/>
  <c r="Y42" i="41"/>
  <c r="AN42" i="41" s="1"/>
  <c r="O42" i="41"/>
  <c r="U42" i="41" s="1"/>
  <c r="AB42" i="41" s="1"/>
  <c r="L42" i="41"/>
  <c r="K42" i="41"/>
  <c r="AQ41" i="41"/>
  <c r="AK41" i="41"/>
  <c r="AR41" i="41" s="1"/>
  <c r="AF41" i="41"/>
  <c r="AF113" i="41" s="1"/>
  <c r="Y41" i="41"/>
  <c r="AN41" i="41" s="1"/>
  <c r="P41" i="41"/>
  <c r="P113" i="41" s="1"/>
  <c r="O41" i="41"/>
  <c r="U41" i="41" s="1"/>
  <c r="L41" i="41"/>
  <c r="K41" i="41"/>
  <c r="AQ40" i="41"/>
  <c r="AK40" i="41"/>
  <c r="AR40" i="41" s="1"/>
  <c r="Y40" i="41"/>
  <c r="AN40" i="41" s="1"/>
  <c r="O40" i="41"/>
  <c r="U40" i="41" s="1"/>
  <c r="AA40" i="41" s="1"/>
  <c r="L40" i="41"/>
  <c r="K40" i="41"/>
  <c r="AQ39" i="41"/>
  <c r="AK39" i="41"/>
  <c r="Y39" i="41"/>
  <c r="AN39" i="41" s="1"/>
  <c r="U39" i="41"/>
  <c r="O39" i="41"/>
  <c r="L39" i="41"/>
  <c r="K39" i="41"/>
  <c r="AJ38" i="41"/>
  <c r="AI38" i="41"/>
  <c r="AH38" i="41"/>
  <c r="AG38" i="41"/>
  <c r="AF38" i="41"/>
  <c r="AE38" i="41"/>
  <c r="AC38" i="41"/>
  <c r="X38" i="41"/>
  <c r="W38" i="41"/>
  <c r="V38" i="41"/>
  <c r="T38" i="41"/>
  <c r="S38" i="41"/>
  <c r="R38" i="41"/>
  <c r="Q38" i="41"/>
  <c r="P38" i="41"/>
  <c r="N38" i="41"/>
  <c r="J38" i="41"/>
  <c r="AQ37" i="41"/>
  <c r="AK37" i="41"/>
  <c r="AR37" i="41" s="1"/>
  <c r="Y37" i="41"/>
  <c r="AN37" i="41" s="1"/>
  <c r="O37" i="41"/>
  <c r="U37" i="41" s="1"/>
  <c r="AB37" i="41" s="1"/>
  <c r="AP37" i="41" s="1"/>
  <c r="L37" i="41"/>
  <c r="K37" i="41"/>
  <c r="I37" i="41"/>
  <c r="AQ36" i="41"/>
  <c r="AK36" i="41"/>
  <c r="AR36" i="41" s="1"/>
  <c r="Y36" i="41"/>
  <c r="AN36" i="41" s="1"/>
  <c r="O36" i="41"/>
  <c r="U36" i="41" s="1"/>
  <c r="L36" i="41"/>
  <c r="I36" i="41" s="1"/>
  <c r="K36" i="41"/>
  <c r="AQ35" i="41"/>
  <c r="AK35" i="41"/>
  <c r="AR35" i="41" s="1"/>
  <c r="Y35" i="41"/>
  <c r="AN35" i="41" s="1"/>
  <c r="O35" i="41"/>
  <c r="U35" i="41" s="1"/>
  <c r="AB35" i="41" s="1"/>
  <c r="AP35" i="41" s="1"/>
  <c r="L35" i="41"/>
  <c r="K35" i="41"/>
  <c r="AQ34" i="41"/>
  <c r="AK34" i="41"/>
  <c r="AR34" i="41" s="1"/>
  <c r="Y34" i="41"/>
  <c r="AN34" i="41" s="1"/>
  <c r="O34" i="41"/>
  <c r="U34" i="41" s="1"/>
  <c r="L34" i="41"/>
  <c r="K34" i="41"/>
  <c r="AJ33" i="41"/>
  <c r="AI33" i="41"/>
  <c r="AH33" i="41"/>
  <c r="AG33" i="41"/>
  <c r="AF33" i="41"/>
  <c r="AE33" i="41"/>
  <c r="AC33" i="41"/>
  <c r="X33" i="41"/>
  <c r="W33" i="41"/>
  <c r="V33" i="41"/>
  <c r="T33" i="41"/>
  <c r="S33" i="41"/>
  <c r="R33" i="41"/>
  <c r="Q33" i="41"/>
  <c r="P33" i="41"/>
  <c r="N33" i="41"/>
  <c r="J33" i="41"/>
  <c r="AQ32" i="41"/>
  <c r="AK32" i="41"/>
  <c r="AR32" i="41" s="1"/>
  <c r="Y32" i="41"/>
  <c r="AN32" i="41" s="1"/>
  <c r="O32" i="41"/>
  <c r="U32" i="41" s="1"/>
  <c r="AB32" i="41" s="1"/>
  <c r="L32" i="41"/>
  <c r="K32" i="41"/>
  <c r="AQ31" i="41"/>
  <c r="AK31" i="41"/>
  <c r="AR31" i="41" s="1"/>
  <c r="Y31" i="41"/>
  <c r="AN31" i="41" s="1"/>
  <c r="O31" i="41"/>
  <c r="U31" i="41" s="1"/>
  <c r="AB31" i="41" s="1"/>
  <c r="L31" i="41"/>
  <c r="K31" i="41"/>
  <c r="AQ30" i="41"/>
  <c r="AK30" i="41"/>
  <c r="Y30" i="41"/>
  <c r="AN30" i="41" s="1"/>
  <c r="O30" i="41"/>
  <c r="L30" i="41"/>
  <c r="K30" i="41"/>
  <c r="AQ29" i="41"/>
  <c r="AN29" i="41"/>
  <c r="AK29" i="41"/>
  <c r="AR29" i="41" s="1"/>
  <c r="Y29" i="41"/>
  <c r="O29" i="41"/>
  <c r="U29" i="41" s="1"/>
  <c r="L29" i="41"/>
  <c r="K29" i="41"/>
  <c r="AJ28" i="41"/>
  <c r="AI28" i="41"/>
  <c r="AH28" i="41"/>
  <c r="AG28" i="41"/>
  <c r="AF28" i="41"/>
  <c r="AE28" i="41"/>
  <c r="AC28" i="41"/>
  <c r="X28" i="41"/>
  <c r="W28" i="41"/>
  <c r="V28" i="41"/>
  <c r="T28" i="41"/>
  <c r="S28" i="41"/>
  <c r="R28" i="41"/>
  <c r="Q28" i="41"/>
  <c r="P28" i="41"/>
  <c r="N28" i="41"/>
  <c r="J28" i="41"/>
  <c r="AQ27" i="41"/>
  <c r="AQ120" i="41" s="1"/>
  <c r="AN27" i="41"/>
  <c r="AN120" i="41" s="1"/>
  <c r="AK27" i="41"/>
  <c r="AK28" i="41" s="1"/>
  <c r="Y27" i="41"/>
  <c r="Y28" i="41" s="1"/>
  <c r="O27" i="41"/>
  <c r="L27" i="41"/>
  <c r="K27" i="41"/>
  <c r="AJ26" i="41"/>
  <c r="AI26" i="41"/>
  <c r="AH26" i="41"/>
  <c r="AG26" i="41"/>
  <c r="AF26" i="41"/>
  <c r="AE26" i="41"/>
  <c r="AC26" i="41"/>
  <c r="X26" i="41"/>
  <c r="W26" i="41"/>
  <c r="V26" i="41"/>
  <c r="T26" i="41"/>
  <c r="S26" i="41"/>
  <c r="R26" i="41"/>
  <c r="Q26" i="41"/>
  <c r="P26" i="41"/>
  <c r="N26" i="41"/>
  <c r="J26" i="41"/>
  <c r="AQ25" i="41"/>
  <c r="AK25" i="41"/>
  <c r="AR25" i="41" s="1"/>
  <c r="Y25" i="41"/>
  <c r="AN25" i="41" s="1"/>
  <c r="O25" i="41"/>
  <c r="U25" i="41" s="1"/>
  <c r="L25" i="41"/>
  <c r="K25" i="41"/>
  <c r="AQ24" i="41"/>
  <c r="AK24" i="41"/>
  <c r="AR24" i="41" s="1"/>
  <c r="Y24" i="41"/>
  <c r="AN24" i="41" s="1"/>
  <c r="O24" i="41"/>
  <c r="U24" i="41" s="1"/>
  <c r="L24" i="41"/>
  <c r="K24" i="41"/>
  <c r="AQ23" i="41"/>
  <c r="AK23" i="41"/>
  <c r="AR23" i="41" s="1"/>
  <c r="Y23" i="41"/>
  <c r="AN23" i="41" s="1"/>
  <c r="O23" i="41"/>
  <c r="U23" i="41" s="1"/>
  <c r="L23" i="41"/>
  <c r="K23" i="41"/>
  <c r="AQ22" i="41"/>
  <c r="AK22" i="41"/>
  <c r="AR22" i="41" s="1"/>
  <c r="Y22" i="41"/>
  <c r="AN22" i="41" s="1"/>
  <c r="O22" i="41"/>
  <c r="L22" i="41"/>
  <c r="K22" i="41"/>
  <c r="AQ21" i="41"/>
  <c r="AK21" i="41"/>
  <c r="AR21" i="41" s="1"/>
  <c r="Y21" i="41"/>
  <c r="O21" i="41"/>
  <c r="U21" i="41" s="1"/>
  <c r="L21" i="41"/>
  <c r="I21" i="41" s="1"/>
  <c r="K21" i="41"/>
  <c r="AJ20" i="41"/>
  <c r="AI20" i="41"/>
  <c r="AH20" i="41"/>
  <c r="AG20" i="41"/>
  <c r="AF20" i="41"/>
  <c r="AE20" i="41"/>
  <c r="AC20" i="41"/>
  <c r="X20" i="41"/>
  <c r="W20" i="41"/>
  <c r="V20" i="41"/>
  <c r="T20" i="41"/>
  <c r="S20" i="41"/>
  <c r="R20" i="41"/>
  <c r="Q20" i="41"/>
  <c r="P20" i="41"/>
  <c r="N20" i="41"/>
  <c r="J20" i="41"/>
  <c r="AQ19" i="41"/>
  <c r="AK19" i="41"/>
  <c r="Y19" i="41"/>
  <c r="AN19" i="41" s="1"/>
  <c r="O19" i="41"/>
  <c r="U19" i="41" s="1"/>
  <c r="L19" i="41"/>
  <c r="K19" i="41"/>
  <c r="AQ18" i="41"/>
  <c r="AK18" i="41"/>
  <c r="AR18" i="41" s="1"/>
  <c r="Y18" i="41"/>
  <c r="AN18" i="41" s="1"/>
  <c r="O18" i="41"/>
  <c r="U18" i="41" s="1"/>
  <c r="AA18" i="41" s="1"/>
  <c r="L18" i="41"/>
  <c r="K18" i="41"/>
  <c r="AQ17" i="41"/>
  <c r="AK17" i="41"/>
  <c r="AR17" i="41" s="1"/>
  <c r="Y17" i="41"/>
  <c r="AN17" i="41" s="1"/>
  <c r="O17" i="41"/>
  <c r="U17" i="41" s="1"/>
  <c r="L17" i="41"/>
  <c r="K17" i="41"/>
  <c r="AQ16" i="41"/>
  <c r="AK16" i="41"/>
  <c r="Y16" i="41"/>
  <c r="AN16" i="41" s="1"/>
  <c r="O16" i="41"/>
  <c r="L16" i="41"/>
  <c r="K16" i="41"/>
  <c r="AJ15" i="41"/>
  <c r="AI15" i="41"/>
  <c r="AH15" i="41"/>
  <c r="AG15" i="41"/>
  <c r="AF15" i="41"/>
  <c r="AE15" i="41"/>
  <c r="AC15" i="41"/>
  <c r="X15" i="41"/>
  <c r="W15" i="41"/>
  <c r="V15" i="41"/>
  <c r="T15" i="41"/>
  <c r="S15" i="41"/>
  <c r="R15" i="41"/>
  <c r="Q15" i="41"/>
  <c r="P15" i="41"/>
  <c r="N15" i="41"/>
  <c r="J15" i="41"/>
  <c r="AQ14" i="41"/>
  <c r="AK14" i="41"/>
  <c r="AR14" i="41" s="1"/>
  <c r="Y14" i="41"/>
  <c r="AN14" i="41" s="1"/>
  <c r="O14" i="41"/>
  <c r="U14" i="41" s="1"/>
  <c r="L14" i="41"/>
  <c r="K14" i="41"/>
  <c r="AQ13" i="41"/>
  <c r="AK13" i="41"/>
  <c r="AR13" i="41" s="1"/>
  <c r="Y13" i="41"/>
  <c r="O13" i="41"/>
  <c r="U13" i="41" s="1"/>
  <c r="L13" i="41"/>
  <c r="K13" i="41"/>
  <c r="I13" i="41" s="1"/>
  <c r="AQ12" i="41"/>
  <c r="AK12" i="41"/>
  <c r="Y12" i="41"/>
  <c r="AN12" i="41" s="1"/>
  <c r="O12" i="41"/>
  <c r="L12" i="41"/>
  <c r="K12" i="41"/>
  <c r="AJ143" i="40"/>
  <c r="AI143" i="40"/>
  <c r="AH143" i="40"/>
  <c r="AG143" i="40"/>
  <c r="AF143" i="40"/>
  <c r="AE143" i="40"/>
  <c r="AC143" i="40"/>
  <c r="X143" i="40"/>
  <c r="W143" i="40"/>
  <c r="V143" i="40"/>
  <c r="T143" i="40"/>
  <c r="S143" i="40"/>
  <c r="R143" i="40"/>
  <c r="Q143" i="40"/>
  <c r="P143" i="40"/>
  <c r="N143" i="40"/>
  <c r="M143" i="40"/>
  <c r="J143" i="40"/>
  <c r="AJ142" i="40"/>
  <c r="AI142" i="40"/>
  <c r="AH142" i="40"/>
  <c r="AG142" i="40"/>
  <c r="AF142" i="40"/>
  <c r="AE142" i="40"/>
  <c r="AC142" i="40"/>
  <c r="X142" i="40"/>
  <c r="W142" i="40"/>
  <c r="V142" i="40"/>
  <c r="T142" i="40"/>
  <c r="S142" i="40"/>
  <c r="R142" i="40"/>
  <c r="Q142" i="40"/>
  <c r="P142" i="40"/>
  <c r="N142" i="40"/>
  <c r="M142" i="40"/>
  <c r="J142" i="40"/>
  <c r="AJ141" i="40"/>
  <c r="AI141" i="40"/>
  <c r="AH141" i="40"/>
  <c r="AG141" i="40"/>
  <c r="AF141" i="40"/>
  <c r="AE141" i="40"/>
  <c r="AC141" i="40"/>
  <c r="X141" i="40"/>
  <c r="W141" i="40"/>
  <c r="V141" i="40"/>
  <c r="T141" i="40"/>
  <c r="S141" i="40"/>
  <c r="R141" i="40"/>
  <c r="Q141" i="40"/>
  <c r="P141" i="40"/>
  <c r="N141" i="40"/>
  <c r="M141" i="40"/>
  <c r="J141" i="40"/>
  <c r="AR140" i="40"/>
  <c r="AQ140" i="40"/>
  <c r="AP140" i="40"/>
  <c r="AO140" i="40"/>
  <c r="AN140" i="40"/>
  <c r="AM140" i="40"/>
  <c r="AL140" i="40"/>
  <c r="AK140" i="40"/>
  <c r="AJ140" i="40"/>
  <c r="AI140" i="40"/>
  <c r="AH140" i="40"/>
  <c r="AG140" i="40"/>
  <c r="AF140" i="40"/>
  <c r="AE140" i="40"/>
  <c r="AD140" i="40"/>
  <c r="AC140" i="40"/>
  <c r="AB140" i="40"/>
  <c r="AA140" i="40"/>
  <c r="Z140" i="40"/>
  <c r="Y140" i="40"/>
  <c r="X140" i="40"/>
  <c r="W140" i="40"/>
  <c r="V140" i="40"/>
  <c r="U140" i="40"/>
  <c r="T140" i="40"/>
  <c r="S140" i="40"/>
  <c r="R140" i="40"/>
  <c r="Q140" i="40"/>
  <c r="P140" i="40"/>
  <c r="O140" i="40"/>
  <c r="N140" i="40"/>
  <c r="M140" i="40"/>
  <c r="L140" i="40"/>
  <c r="K140" i="40"/>
  <c r="J140" i="40"/>
  <c r="I140" i="40"/>
  <c r="AR139" i="40"/>
  <c r="AQ139" i="40"/>
  <c r="AP139" i="40"/>
  <c r="AO139" i="40"/>
  <c r="AN139" i="40"/>
  <c r="AM139" i="40"/>
  <c r="AL139" i="40"/>
  <c r="AK139" i="40"/>
  <c r="AJ139" i="40"/>
  <c r="AI139" i="40"/>
  <c r="AH139" i="40"/>
  <c r="AG139" i="40"/>
  <c r="AF139" i="40"/>
  <c r="AE139" i="40"/>
  <c r="AD139" i="40"/>
  <c r="AC139" i="40"/>
  <c r="AB139" i="40"/>
  <c r="AA139" i="40"/>
  <c r="Z139" i="40"/>
  <c r="Y139" i="40"/>
  <c r="X139" i="40"/>
  <c r="W139" i="40"/>
  <c r="V139" i="40"/>
  <c r="U139" i="40"/>
  <c r="T139" i="40"/>
  <c r="S139" i="40"/>
  <c r="R139" i="40"/>
  <c r="Q139" i="40"/>
  <c r="P139" i="40"/>
  <c r="O139" i="40"/>
  <c r="N139" i="40"/>
  <c r="M139" i="40"/>
  <c r="L139" i="40"/>
  <c r="K139" i="40"/>
  <c r="J139" i="40"/>
  <c r="I139" i="40"/>
  <c r="AJ138" i="40"/>
  <c r="AI138" i="40"/>
  <c r="AH138" i="40"/>
  <c r="AG138" i="40"/>
  <c r="AF138" i="40"/>
  <c r="AE138" i="40"/>
  <c r="AC138" i="40"/>
  <c r="X138" i="40"/>
  <c r="W138" i="40"/>
  <c r="V138" i="40"/>
  <c r="T138" i="40"/>
  <c r="S138" i="40"/>
  <c r="R138" i="40"/>
  <c r="Q138" i="40"/>
  <c r="P138" i="40"/>
  <c r="N138" i="40"/>
  <c r="M138" i="40"/>
  <c r="J138" i="40"/>
  <c r="AJ137" i="40"/>
  <c r="AI137" i="40"/>
  <c r="AH137" i="40"/>
  <c r="AG137" i="40"/>
  <c r="AF137" i="40"/>
  <c r="AE137" i="40"/>
  <c r="AC137" i="40"/>
  <c r="X137" i="40"/>
  <c r="W137" i="40"/>
  <c r="V137" i="40"/>
  <c r="T137" i="40"/>
  <c r="S137" i="40"/>
  <c r="R137" i="40"/>
  <c r="Q137" i="40"/>
  <c r="N137" i="40"/>
  <c r="M137" i="40"/>
  <c r="J137" i="40"/>
  <c r="AJ136" i="40"/>
  <c r="AI136" i="40"/>
  <c r="AH136" i="40"/>
  <c r="AG136" i="40"/>
  <c r="AF136" i="40"/>
  <c r="AE136" i="40"/>
  <c r="AC136" i="40"/>
  <c r="X136" i="40"/>
  <c r="W136" i="40"/>
  <c r="V136" i="40"/>
  <c r="T136" i="40"/>
  <c r="S136" i="40"/>
  <c r="R136" i="40"/>
  <c r="Q136" i="40"/>
  <c r="P136" i="40"/>
  <c r="N136" i="40"/>
  <c r="M136" i="40"/>
  <c r="J136" i="40"/>
  <c r="AJ135" i="40"/>
  <c r="AI135" i="40"/>
  <c r="AH135" i="40"/>
  <c r="AG135" i="40"/>
  <c r="AF135" i="40"/>
  <c r="AE135" i="40"/>
  <c r="AC135" i="40"/>
  <c r="X135" i="40"/>
  <c r="W135" i="40"/>
  <c r="V135" i="40"/>
  <c r="T135" i="40"/>
  <c r="S135" i="40"/>
  <c r="R135" i="40"/>
  <c r="Q135" i="40"/>
  <c r="N135" i="40"/>
  <c r="M135" i="40"/>
  <c r="J135" i="40"/>
  <c r="AJ134" i="40"/>
  <c r="AI134" i="40"/>
  <c r="AH134" i="40"/>
  <c r="AG134" i="40"/>
  <c r="AF134" i="40"/>
  <c r="AE134" i="40"/>
  <c r="AC134" i="40"/>
  <c r="X134" i="40"/>
  <c r="W134" i="40"/>
  <c r="V134" i="40"/>
  <c r="T134" i="40"/>
  <c r="S134" i="40"/>
  <c r="R134" i="40"/>
  <c r="Q134" i="40"/>
  <c r="P134" i="40"/>
  <c r="N134" i="40"/>
  <c r="M134" i="40"/>
  <c r="J134" i="40"/>
  <c r="AJ129" i="40"/>
  <c r="AI129" i="40"/>
  <c r="AH129" i="40"/>
  <c r="AG129" i="40"/>
  <c r="AF129" i="40"/>
  <c r="AC129" i="40"/>
  <c r="X129" i="40"/>
  <c r="W129" i="40"/>
  <c r="V129" i="40"/>
  <c r="T129" i="40"/>
  <c r="S129" i="40"/>
  <c r="R129" i="40"/>
  <c r="Q129" i="40"/>
  <c r="P129" i="40"/>
  <c r="N129" i="40"/>
  <c r="J129" i="40"/>
  <c r="AR128" i="40"/>
  <c r="AQ128" i="40"/>
  <c r="AK128" i="40"/>
  <c r="Y128" i="40"/>
  <c r="AN128" i="40" s="1"/>
  <c r="O128" i="40"/>
  <c r="U128" i="40" s="1"/>
  <c r="L128" i="40"/>
  <c r="K128" i="40"/>
  <c r="AQ127" i="40"/>
  <c r="AK127" i="40"/>
  <c r="AK129" i="40" s="1"/>
  <c r="Y127" i="40"/>
  <c r="O127" i="40"/>
  <c r="U127" i="40" s="1"/>
  <c r="L127" i="40"/>
  <c r="K127" i="40"/>
  <c r="AJ126" i="40"/>
  <c r="AI126" i="40"/>
  <c r="AH126" i="40"/>
  <c r="AG126" i="40"/>
  <c r="AF126" i="40"/>
  <c r="AC126" i="40"/>
  <c r="X126" i="40"/>
  <c r="W126" i="40"/>
  <c r="V126" i="40"/>
  <c r="T126" i="40"/>
  <c r="S126" i="40"/>
  <c r="R126" i="40"/>
  <c r="Q126" i="40"/>
  <c r="P126" i="40"/>
  <c r="N126" i="40"/>
  <c r="J126" i="40"/>
  <c r="AQ125" i="40"/>
  <c r="AK125" i="40"/>
  <c r="AR125" i="40" s="1"/>
  <c r="Y125" i="40"/>
  <c r="AN125" i="40" s="1"/>
  <c r="U125" i="40"/>
  <c r="O125" i="40"/>
  <c r="L125" i="40"/>
  <c r="K125" i="40"/>
  <c r="I125" i="40" s="1"/>
  <c r="AQ124" i="40"/>
  <c r="AK124" i="40"/>
  <c r="AR124" i="40" s="1"/>
  <c r="Y124" i="40"/>
  <c r="AN124" i="40" s="1"/>
  <c r="O124" i="40"/>
  <c r="U124" i="40" s="1"/>
  <c r="L124" i="40"/>
  <c r="K124" i="40"/>
  <c r="AQ123" i="40"/>
  <c r="AK123" i="40"/>
  <c r="Y123" i="40"/>
  <c r="AN123" i="40" s="1"/>
  <c r="O123" i="40"/>
  <c r="U123" i="40" s="1"/>
  <c r="L123" i="40"/>
  <c r="K123" i="40"/>
  <c r="AJ122" i="40"/>
  <c r="AI122" i="40"/>
  <c r="AH122" i="40"/>
  <c r="AG122" i="40"/>
  <c r="AF122" i="40"/>
  <c r="AC122" i="40"/>
  <c r="X122" i="40"/>
  <c r="W122" i="40"/>
  <c r="V122" i="40"/>
  <c r="T122" i="40"/>
  <c r="S122" i="40"/>
  <c r="R122" i="40"/>
  <c r="Q122" i="40"/>
  <c r="P122" i="40"/>
  <c r="N122" i="40"/>
  <c r="J122" i="40"/>
  <c r="AQ121" i="40"/>
  <c r="AK121" i="40"/>
  <c r="AR121" i="40" s="1"/>
  <c r="Y121" i="40"/>
  <c r="AN121" i="40" s="1"/>
  <c r="O121" i="40"/>
  <c r="U121" i="40" s="1"/>
  <c r="L121" i="40"/>
  <c r="K121" i="40"/>
  <c r="AQ120" i="40"/>
  <c r="AK120" i="40"/>
  <c r="AK122" i="40" s="1"/>
  <c r="Y120" i="40"/>
  <c r="O120" i="40"/>
  <c r="L120" i="40"/>
  <c r="K120" i="40"/>
  <c r="AJ119" i="40"/>
  <c r="AI119" i="40"/>
  <c r="AH119" i="40"/>
  <c r="AG119" i="40"/>
  <c r="AF119" i="40"/>
  <c r="AC119" i="40"/>
  <c r="X119" i="40"/>
  <c r="W119" i="40"/>
  <c r="V119" i="40"/>
  <c r="T119" i="40"/>
  <c r="S119" i="40"/>
  <c r="R119" i="40"/>
  <c r="Q119" i="40"/>
  <c r="P119" i="40"/>
  <c r="N119" i="40"/>
  <c r="J119" i="40"/>
  <c r="AQ118" i="40"/>
  <c r="AK118" i="40"/>
  <c r="AR118" i="40" s="1"/>
  <c r="Y118" i="40"/>
  <c r="AN118" i="40" s="1"/>
  <c r="O118" i="40"/>
  <c r="U118" i="40" s="1"/>
  <c r="L118" i="40"/>
  <c r="K118" i="40"/>
  <c r="AQ117" i="40"/>
  <c r="AK117" i="40"/>
  <c r="AR117" i="40" s="1"/>
  <c r="Y117" i="40"/>
  <c r="AN117" i="40" s="1"/>
  <c r="O117" i="40"/>
  <c r="U117" i="40" s="1"/>
  <c r="L117" i="40"/>
  <c r="K117" i="40"/>
  <c r="AQ116" i="40"/>
  <c r="AK116" i="40"/>
  <c r="AR116" i="40" s="1"/>
  <c r="Y116" i="40"/>
  <c r="AN116" i="40" s="1"/>
  <c r="O116" i="40"/>
  <c r="U116" i="40" s="1"/>
  <c r="L116" i="40"/>
  <c r="K116" i="40"/>
  <c r="AQ115" i="40"/>
  <c r="AK115" i="40"/>
  <c r="Y115" i="40"/>
  <c r="AN115" i="40" s="1"/>
  <c r="O115" i="40"/>
  <c r="L115" i="40"/>
  <c r="K115" i="40"/>
  <c r="AJ114" i="40"/>
  <c r="AI114" i="40"/>
  <c r="AH114" i="40"/>
  <c r="AG114" i="40"/>
  <c r="AF114" i="40"/>
  <c r="AC114" i="40"/>
  <c r="X114" i="40"/>
  <c r="W114" i="40"/>
  <c r="V114" i="40"/>
  <c r="T114" i="40"/>
  <c r="S114" i="40"/>
  <c r="R114" i="40"/>
  <c r="Q114" i="40"/>
  <c r="P114" i="40"/>
  <c r="N114" i="40"/>
  <c r="J114" i="40"/>
  <c r="AQ113" i="40"/>
  <c r="AK113" i="40"/>
  <c r="AR113" i="40" s="1"/>
  <c r="Y113" i="40"/>
  <c r="AN113" i="40" s="1"/>
  <c r="O113" i="40"/>
  <c r="U113" i="40" s="1"/>
  <c r="L113" i="40"/>
  <c r="K113" i="40"/>
  <c r="AQ112" i="40"/>
  <c r="AK112" i="40"/>
  <c r="AR112" i="40" s="1"/>
  <c r="Y112" i="40"/>
  <c r="AN112" i="40" s="1"/>
  <c r="O112" i="40"/>
  <c r="U112" i="40" s="1"/>
  <c r="AA112" i="40" s="1"/>
  <c r="AO112" i="40" s="1"/>
  <c r="L112" i="40"/>
  <c r="K112" i="40"/>
  <c r="AQ111" i="40"/>
  <c r="AK111" i="40"/>
  <c r="AB111" i="40"/>
  <c r="Y111" i="40"/>
  <c r="AA111" i="40" s="1"/>
  <c r="O111" i="40"/>
  <c r="U111" i="40" s="1"/>
  <c r="L111" i="40"/>
  <c r="K111" i="40"/>
  <c r="AQ110" i="40"/>
  <c r="AK110" i="40"/>
  <c r="AR110" i="40" s="1"/>
  <c r="Y110" i="40"/>
  <c r="O110" i="40"/>
  <c r="L110" i="40"/>
  <c r="K110" i="40"/>
  <c r="AJ109" i="40"/>
  <c r="AI109" i="40"/>
  <c r="AH109" i="40"/>
  <c r="AG109" i="40"/>
  <c r="AF109" i="40"/>
  <c r="AC109" i="40"/>
  <c r="X109" i="40"/>
  <c r="W109" i="40"/>
  <c r="V109" i="40"/>
  <c r="T109" i="40"/>
  <c r="S109" i="40"/>
  <c r="R109" i="40"/>
  <c r="Q109" i="40"/>
  <c r="P109" i="40"/>
  <c r="N109" i="40"/>
  <c r="J109" i="40"/>
  <c r="AQ108" i="40"/>
  <c r="AK108" i="40"/>
  <c r="AR108" i="40" s="1"/>
  <c r="Y108" i="40"/>
  <c r="AN108" i="40" s="1"/>
  <c r="O108" i="40"/>
  <c r="U108" i="40" s="1"/>
  <c r="L108" i="40"/>
  <c r="K108" i="40"/>
  <c r="AQ107" i="40"/>
  <c r="AK107" i="40"/>
  <c r="AR107" i="40" s="1"/>
  <c r="Y107" i="40"/>
  <c r="AN107" i="40" s="1"/>
  <c r="O107" i="40"/>
  <c r="U107" i="40" s="1"/>
  <c r="L107" i="40"/>
  <c r="I107" i="40" s="1"/>
  <c r="K107" i="40"/>
  <c r="AQ106" i="40"/>
  <c r="AK106" i="40"/>
  <c r="AR106" i="40" s="1"/>
  <c r="Y106" i="40"/>
  <c r="AN106" i="40" s="1"/>
  <c r="O106" i="40"/>
  <c r="U106" i="40" s="1"/>
  <c r="L106" i="40"/>
  <c r="K106" i="40"/>
  <c r="AQ105" i="40"/>
  <c r="AK105" i="40"/>
  <c r="Y105" i="40"/>
  <c r="O105" i="40"/>
  <c r="L105" i="40"/>
  <c r="K105" i="40"/>
  <c r="AJ104" i="40"/>
  <c r="AI104" i="40"/>
  <c r="AH104" i="40"/>
  <c r="AG104" i="40"/>
  <c r="AF104" i="40"/>
  <c r="AC104" i="40"/>
  <c r="X104" i="40"/>
  <c r="W104" i="40"/>
  <c r="V104" i="40"/>
  <c r="T104" i="40"/>
  <c r="S104" i="40"/>
  <c r="R104" i="40"/>
  <c r="Q104" i="40"/>
  <c r="P104" i="40"/>
  <c r="N104" i="40"/>
  <c r="J104" i="40"/>
  <c r="AQ103" i="40"/>
  <c r="AK103" i="40"/>
  <c r="AR103" i="40" s="1"/>
  <c r="Y103" i="40"/>
  <c r="O103" i="40"/>
  <c r="U103" i="40" s="1"/>
  <c r="AB103" i="40" s="1"/>
  <c r="L103" i="40"/>
  <c r="K103" i="40"/>
  <c r="AQ102" i="40"/>
  <c r="AK102" i="40"/>
  <c r="Y102" i="40"/>
  <c r="O102" i="40"/>
  <c r="U102" i="40" s="1"/>
  <c r="AB102" i="40" s="1"/>
  <c r="L102" i="40"/>
  <c r="L104" i="40" s="1"/>
  <c r="K102" i="40"/>
  <c r="AJ101" i="40"/>
  <c r="AI101" i="40"/>
  <c r="AH101" i="40"/>
  <c r="AG101" i="40"/>
  <c r="AF101" i="40"/>
  <c r="AC101" i="40"/>
  <c r="X101" i="40"/>
  <c r="W101" i="40"/>
  <c r="V101" i="40"/>
  <c r="T101" i="40"/>
  <c r="S101" i="40"/>
  <c r="R101" i="40"/>
  <c r="Q101" i="40"/>
  <c r="P101" i="40"/>
  <c r="N101" i="40"/>
  <c r="J101" i="40"/>
  <c r="AQ100" i="40"/>
  <c r="AK100" i="40"/>
  <c r="AR100" i="40" s="1"/>
  <c r="Y100" i="40"/>
  <c r="AN100" i="40" s="1"/>
  <c r="O100" i="40"/>
  <c r="U100" i="40" s="1"/>
  <c r="L100" i="40"/>
  <c r="K100" i="40"/>
  <c r="AQ99" i="40"/>
  <c r="AK99" i="40"/>
  <c r="Y99" i="40"/>
  <c r="AN99" i="40" s="1"/>
  <c r="O99" i="40"/>
  <c r="L99" i="40"/>
  <c r="K99" i="40"/>
  <c r="AJ98" i="40"/>
  <c r="AI98" i="40"/>
  <c r="AH98" i="40"/>
  <c r="AG98" i="40"/>
  <c r="AF98" i="40"/>
  <c r="AC98" i="40"/>
  <c r="X98" i="40"/>
  <c r="W98" i="40"/>
  <c r="V98" i="40"/>
  <c r="T98" i="40"/>
  <c r="S98" i="40"/>
  <c r="R98" i="40"/>
  <c r="Q98" i="40"/>
  <c r="P98" i="40"/>
  <c r="N98" i="40"/>
  <c r="J98" i="40"/>
  <c r="AQ97" i="40"/>
  <c r="AK97" i="40"/>
  <c r="AR97" i="40" s="1"/>
  <c r="Y97" i="40"/>
  <c r="AN97" i="40" s="1"/>
  <c r="O97" i="40"/>
  <c r="U97" i="40" s="1"/>
  <c r="AM97" i="40" s="1"/>
  <c r="L97" i="40"/>
  <c r="K97" i="40"/>
  <c r="AQ96" i="40"/>
  <c r="AK96" i="40"/>
  <c r="AR96" i="40" s="1"/>
  <c r="Y96" i="40"/>
  <c r="AN96" i="40" s="1"/>
  <c r="O96" i="40"/>
  <c r="U96" i="40" s="1"/>
  <c r="L96" i="40"/>
  <c r="K96" i="40"/>
  <c r="AQ95" i="40"/>
  <c r="AK95" i="40"/>
  <c r="AR95" i="40" s="1"/>
  <c r="Y95" i="40"/>
  <c r="AN95" i="40" s="1"/>
  <c r="O95" i="40"/>
  <c r="U95" i="40" s="1"/>
  <c r="AQ94" i="40"/>
  <c r="AK94" i="40"/>
  <c r="AR94" i="40" s="1"/>
  <c r="Y94" i="40"/>
  <c r="AN94" i="40" s="1"/>
  <c r="O94" i="40"/>
  <c r="U94" i="40" s="1"/>
  <c r="AB94" i="40" s="1"/>
  <c r="L94" i="40"/>
  <c r="K94" i="40"/>
  <c r="AJ93" i="40"/>
  <c r="AI93" i="40"/>
  <c r="AH93" i="40"/>
  <c r="AG93" i="40"/>
  <c r="AF93" i="40"/>
  <c r="AC93" i="40"/>
  <c r="X93" i="40"/>
  <c r="W93" i="40"/>
  <c r="V93" i="40"/>
  <c r="T93" i="40"/>
  <c r="S93" i="40"/>
  <c r="R93" i="40"/>
  <c r="Q93" i="40"/>
  <c r="P93" i="40"/>
  <c r="N93" i="40"/>
  <c r="J93" i="40"/>
  <c r="AQ92" i="40"/>
  <c r="AK92" i="40"/>
  <c r="AR92" i="40" s="1"/>
  <c r="Y92" i="40"/>
  <c r="AN92" i="40" s="1"/>
  <c r="O92" i="40"/>
  <c r="U92" i="40" s="1"/>
  <c r="AB92" i="40" s="1"/>
  <c r="L92" i="40"/>
  <c r="K92" i="40"/>
  <c r="I92" i="40" s="1"/>
  <c r="AQ91" i="40"/>
  <c r="AQ93" i="40" s="1"/>
  <c r="AK91" i="40"/>
  <c r="Y91" i="40"/>
  <c r="O91" i="40"/>
  <c r="L91" i="40"/>
  <c r="K91" i="40"/>
  <c r="AJ90" i="40"/>
  <c r="AI90" i="40"/>
  <c r="AH90" i="40"/>
  <c r="AG90" i="40"/>
  <c r="AF90" i="40"/>
  <c r="AC90" i="40"/>
  <c r="X90" i="40"/>
  <c r="W90" i="40"/>
  <c r="V90" i="40"/>
  <c r="T90" i="40"/>
  <c r="S90" i="40"/>
  <c r="R90" i="40"/>
  <c r="Q90" i="40"/>
  <c r="P90" i="40"/>
  <c r="N90" i="40"/>
  <c r="J90" i="40"/>
  <c r="AQ89" i="40"/>
  <c r="AK89" i="40"/>
  <c r="AR89" i="40" s="1"/>
  <c r="Y89" i="40"/>
  <c r="AN89" i="40" s="1"/>
  <c r="O89" i="40"/>
  <c r="U89" i="40" s="1"/>
  <c r="AB89" i="40" s="1"/>
  <c r="L89" i="40"/>
  <c r="K89" i="40"/>
  <c r="AQ88" i="40"/>
  <c r="AK88" i="40"/>
  <c r="Y88" i="40"/>
  <c r="O88" i="40"/>
  <c r="O90" i="40" s="1"/>
  <c r="L88" i="40"/>
  <c r="K88" i="40"/>
  <c r="AJ87" i="40"/>
  <c r="AI87" i="40"/>
  <c r="AH87" i="40"/>
  <c r="AG87" i="40"/>
  <c r="AF87" i="40"/>
  <c r="AC87" i="40"/>
  <c r="X87" i="40"/>
  <c r="W87" i="40"/>
  <c r="V87" i="40"/>
  <c r="T87" i="40"/>
  <c r="S87" i="40"/>
  <c r="R87" i="40"/>
  <c r="Q87" i="40"/>
  <c r="P87" i="40"/>
  <c r="N87" i="40"/>
  <c r="J87" i="40"/>
  <c r="AQ86" i="40"/>
  <c r="AQ87" i="40" s="1"/>
  <c r="AK86" i="40"/>
  <c r="Y86" i="40"/>
  <c r="Y87" i="40" s="1"/>
  <c r="O86" i="40"/>
  <c r="U86" i="40" s="1"/>
  <c r="L86" i="40"/>
  <c r="L87" i="40" s="1"/>
  <c r="K86" i="40"/>
  <c r="I86" i="40" s="1"/>
  <c r="AJ85" i="40"/>
  <c r="AI85" i="40"/>
  <c r="AH85" i="40"/>
  <c r="AG85" i="40"/>
  <c r="AF85" i="40"/>
  <c r="AC85" i="40"/>
  <c r="X85" i="40"/>
  <c r="W85" i="40"/>
  <c r="V85" i="40"/>
  <c r="T85" i="40"/>
  <c r="S85" i="40"/>
  <c r="R85" i="40"/>
  <c r="Q85" i="40"/>
  <c r="N85" i="40"/>
  <c r="J85" i="40"/>
  <c r="AQ84" i="40"/>
  <c r="AK84" i="40"/>
  <c r="AR84" i="40" s="1"/>
  <c r="Y84" i="40"/>
  <c r="AN84" i="40" s="1"/>
  <c r="O84" i="40"/>
  <c r="U84" i="40" s="1"/>
  <c r="AB84" i="40" s="1"/>
  <c r="L84" i="40"/>
  <c r="K84" i="40"/>
  <c r="I84" i="40" s="1"/>
  <c r="AQ83" i="40"/>
  <c r="AK83" i="40"/>
  <c r="AR83" i="40" s="1"/>
  <c r="Y83" i="40"/>
  <c r="AN83" i="40" s="1"/>
  <c r="P83" i="40"/>
  <c r="O83" i="40"/>
  <c r="U83" i="40" s="1"/>
  <c r="L83" i="40"/>
  <c r="K83" i="40"/>
  <c r="AQ82" i="40"/>
  <c r="AK82" i="40"/>
  <c r="Y82" i="40"/>
  <c r="AN82" i="40" s="1"/>
  <c r="O82" i="40"/>
  <c r="U82" i="40" s="1"/>
  <c r="L82" i="40"/>
  <c r="K82" i="40"/>
  <c r="AJ81" i="40"/>
  <c r="AI81" i="40"/>
  <c r="AH81" i="40"/>
  <c r="AG81" i="40"/>
  <c r="AF81" i="40"/>
  <c r="AC81" i="40"/>
  <c r="X81" i="40"/>
  <c r="W81" i="40"/>
  <c r="V81" i="40"/>
  <c r="T81" i="40"/>
  <c r="S81" i="40"/>
  <c r="R81" i="40"/>
  <c r="Q81" i="40"/>
  <c r="P81" i="40"/>
  <c r="N81" i="40"/>
  <c r="J81" i="40"/>
  <c r="AQ80" i="40"/>
  <c r="AK80" i="40"/>
  <c r="AR80" i="40" s="1"/>
  <c r="Y80" i="40"/>
  <c r="O80" i="40"/>
  <c r="U80" i="40" s="1"/>
  <c r="AM80" i="40" s="1"/>
  <c r="L80" i="40"/>
  <c r="K80" i="40"/>
  <c r="AQ79" i="40"/>
  <c r="AK79" i="40"/>
  <c r="AR79" i="40" s="1"/>
  <c r="Y79" i="40"/>
  <c r="AN79" i="40" s="1"/>
  <c r="O79" i="40"/>
  <c r="U79" i="40" s="1"/>
  <c r="L79" i="40"/>
  <c r="K79" i="40"/>
  <c r="AJ78" i="40"/>
  <c r="AI78" i="40"/>
  <c r="AH78" i="40"/>
  <c r="AG78" i="40"/>
  <c r="AF78" i="40"/>
  <c r="AC78" i="40"/>
  <c r="X78" i="40"/>
  <c r="W78" i="40"/>
  <c r="V78" i="40"/>
  <c r="T78" i="40"/>
  <c r="S78" i="40"/>
  <c r="R78" i="40"/>
  <c r="Q78" i="40"/>
  <c r="P78" i="40"/>
  <c r="N78" i="40"/>
  <c r="J78" i="40"/>
  <c r="AQ77" i="40"/>
  <c r="AN77" i="40"/>
  <c r="AK77" i="40"/>
  <c r="AR77" i="40" s="1"/>
  <c r="Y77" i="40"/>
  <c r="O77" i="40"/>
  <c r="U77" i="40" s="1"/>
  <c r="L77" i="40"/>
  <c r="K77" i="40"/>
  <c r="AQ76" i="40"/>
  <c r="AK76" i="40"/>
  <c r="AR76" i="40" s="1"/>
  <c r="Y76" i="40"/>
  <c r="AN76" i="40" s="1"/>
  <c r="P76" i="40"/>
  <c r="O76" i="40"/>
  <c r="U76" i="40" s="1"/>
  <c r="L76" i="40"/>
  <c r="K76" i="40"/>
  <c r="AQ75" i="40"/>
  <c r="AK75" i="40"/>
  <c r="Y75" i="40"/>
  <c r="Y78" i="40" s="1"/>
  <c r="O75" i="40"/>
  <c r="L75" i="40"/>
  <c r="K75" i="40"/>
  <c r="AJ74" i="40"/>
  <c r="AI74" i="40"/>
  <c r="AH74" i="40"/>
  <c r="AG74" i="40"/>
  <c r="AF74" i="40"/>
  <c r="AC74" i="40"/>
  <c r="X74" i="40"/>
  <c r="W74" i="40"/>
  <c r="V74" i="40"/>
  <c r="T74" i="40"/>
  <c r="S74" i="40"/>
  <c r="R74" i="40"/>
  <c r="Q74" i="40"/>
  <c r="P74" i="40"/>
  <c r="N74" i="40"/>
  <c r="J74" i="40"/>
  <c r="AQ73" i="40"/>
  <c r="AK73" i="40"/>
  <c r="AR73" i="40" s="1"/>
  <c r="Y73" i="40"/>
  <c r="AN73" i="40" s="1"/>
  <c r="O73" i="40"/>
  <c r="U73" i="40" s="1"/>
  <c r="L73" i="40"/>
  <c r="K73" i="40"/>
  <c r="AQ72" i="40"/>
  <c r="AQ74" i="40" s="1"/>
  <c r="AK72" i="40"/>
  <c r="Y72" i="40"/>
  <c r="O72" i="40"/>
  <c r="U72" i="40" s="1"/>
  <c r="L72" i="40"/>
  <c r="K72" i="40"/>
  <c r="K74" i="40" s="1"/>
  <c r="AJ71" i="40"/>
  <c r="AI71" i="40"/>
  <c r="AH71" i="40"/>
  <c r="AG71" i="40"/>
  <c r="AF71" i="40"/>
  <c r="AC71" i="40"/>
  <c r="X71" i="40"/>
  <c r="W71" i="40"/>
  <c r="V71" i="40"/>
  <c r="T71" i="40"/>
  <c r="S71" i="40"/>
  <c r="R71" i="40"/>
  <c r="Q71" i="40"/>
  <c r="P71" i="40"/>
  <c r="N71" i="40"/>
  <c r="J71" i="40"/>
  <c r="AQ70" i="40"/>
  <c r="AK70" i="40"/>
  <c r="AR70" i="40" s="1"/>
  <c r="Y70" i="40"/>
  <c r="AN70" i="40" s="1"/>
  <c r="O70" i="40"/>
  <c r="U70" i="40" s="1"/>
  <c r="L70" i="40"/>
  <c r="K70" i="40"/>
  <c r="AQ69" i="40"/>
  <c r="AK69" i="40"/>
  <c r="AR69" i="40" s="1"/>
  <c r="Y69" i="40"/>
  <c r="AN69" i="40" s="1"/>
  <c r="O69" i="40"/>
  <c r="U69" i="40" s="1"/>
  <c r="L69" i="40"/>
  <c r="K69" i="40"/>
  <c r="AQ68" i="40"/>
  <c r="AK68" i="40"/>
  <c r="AR68" i="40" s="1"/>
  <c r="Y68" i="40"/>
  <c r="AN68" i="40" s="1"/>
  <c r="U68" i="40"/>
  <c r="O68" i="40"/>
  <c r="L68" i="40"/>
  <c r="K68" i="40"/>
  <c r="AQ67" i="40"/>
  <c r="AK67" i="40"/>
  <c r="Y67" i="40"/>
  <c r="O67" i="40"/>
  <c r="U67" i="40" s="1"/>
  <c r="L67" i="40"/>
  <c r="K67" i="40"/>
  <c r="I67" i="40" s="1"/>
  <c r="AJ66" i="40"/>
  <c r="AI66" i="40"/>
  <c r="AH66" i="40"/>
  <c r="AG66" i="40"/>
  <c r="AF66" i="40"/>
  <c r="AC66" i="40"/>
  <c r="X66" i="40"/>
  <c r="W66" i="40"/>
  <c r="V66" i="40"/>
  <c r="T66" i="40"/>
  <c r="S66" i="40"/>
  <c r="R66" i="40"/>
  <c r="Q66" i="40"/>
  <c r="N66" i="40"/>
  <c r="J66" i="40"/>
  <c r="AQ65" i="40"/>
  <c r="AK65" i="40"/>
  <c r="AR65" i="40" s="1"/>
  <c r="Y65" i="40"/>
  <c r="AN65" i="40" s="1"/>
  <c r="O65" i="40"/>
  <c r="L65" i="40"/>
  <c r="K65" i="40"/>
  <c r="AQ64" i="40"/>
  <c r="AK64" i="40"/>
  <c r="AR64" i="40" s="1"/>
  <c r="Y64" i="40"/>
  <c r="AN64" i="40" s="1"/>
  <c r="P64" i="40"/>
  <c r="P137" i="40" s="1"/>
  <c r="O64" i="40"/>
  <c r="L64" i="40"/>
  <c r="K64" i="40"/>
  <c r="AQ63" i="40"/>
  <c r="AK63" i="40"/>
  <c r="AR63" i="40" s="1"/>
  <c r="Y63" i="40"/>
  <c r="AN63" i="40" s="1"/>
  <c r="O63" i="40"/>
  <c r="U63" i="40" s="1"/>
  <c r="AB63" i="40" s="1"/>
  <c r="L63" i="40"/>
  <c r="K63" i="40"/>
  <c r="AQ62" i="40"/>
  <c r="AK62" i="40"/>
  <c r="AR62" i="40" s="1"/>
  <c r="Y62" i="40"/>
  <c r="AN62" i="40" s="1"/>
  <c r="O62" i="40"/>
  <c r="U62" i="40" s="1"/>
  <c r="L62" i="40"/>
  <c r="K62" i="40"/>
  <c r="AJ61" i="40"/>
  <c r="AI61" i="40"/>
  <c r="AH61" i="40"/>
  <c r="AG61" i="40"/>
  <c r="AF61" i="40"/>
  <c r="AC61" i="40"/>
  <c r="X61" i="40"/>
  <c r="W61" i="40"/>
  <c r="V61" i="40"/>
  <c r="T61" i="40"/>
  <c r="S61" i="40"/>
  <c r="R61" i="40"/>
  <c r="Q61" i="40"/>
  <c r="P61" i="40"/>
  <c r="N61" i="40"/>
  <c r="J61" i="40"/>
  <c r="AQ60" i="40"/>
  <c r="AK60" i="40"/>
  <c r="AR60" i="40" s="1"/>
  <c r="Y60" i="40"/>
  <c r="AN60" i="40" s="1"/>
  <c r="O60" i="40"/>
  <c r="U60" i="40" s="1"/>
  <c r="L60" i="40"/>
  <c r="K60" i="40"/>
  <c r="AQ59" i="40"/>
  <c r="AK59" i="40"/>
  <c r="AR59" i="40" s="1"/>
  <c r="Y59" i="40"/>
  <c r="AN59" i="40" s="1"/>
  <c r="O59" i="40"/>
  <c r="U59" i="40" s="1"/>
  <c r="L59" i="40"/>
  <c r="K59" i="40"/>
  <c r="AQ58" i="40"/>
  <c r="AK58" i="40"/>
  <c r="AR58" i="40" s="1"/>
  <c r="Y58" i="40"/>
  <c r="AN58" i="40" s="1"/>
  <c r="O58" i="40"/>
  <c r="U58" i="40" s="1"/>
  <c r="L58" i="40"/>
  <c r="K58" i="40"/>
  <c r="AQ57" i="40"/>
  <c r="AK57" i="40"/>
  <c r="AR57" i="40" s="1"/>
  <c r="Y57" i="40"/>
  <c r="O57" i="40"/>
  <c r="L57" i="40"/>
  <c r="K57" i="40"/>
  <c r="AJ56" i="40"/>
  <c r="AI56" i="40"/>
  <c r="AH56" i="40"/>
  <c r="AG56" i="40"/>
  <c r="AF56" i="40"/>
  <c r="AC56" i="40"/>
  <c r="X56" i="40"/>
  <c r="W56" i="40"/>
  <c r="V56" i="40"/>
  <c r="T56" i="40"/>
  <c r="S56" i="40"/>
  <c r="R56" i="40"/>
  <c r="Q56" i="40"/>
  <c r="P56" i="40"/>
  <c r="N56" i="40"/>
  <c r="J56" i="40"/>
  <c r="AQ55" i="40"/>
  <c r="AK55" i="40"/>
  <c r="AR55" i="40" s="1"/>
  <c r="Y55" i="40"/>
  <c r="AN55" i="40" s="1"/>
  <c r="O55" i="40"/>
  <c r="U55" i="40" s="1"/>
  <c r="L55" i="40"/>
  <c r="K55" i="40"/>
  <c r="AQ54" i="40"/>
  <c r="AK54" i="40"/>
  <c r="AR54" i="40" s="1"/>
  <c r="Y54" i="40"/>
  <c r="AN54" i="40" s="1"/>
  <c r="O54" i="40"/>
  <c r="U54" i="40" s="1"/>
  <c r="L54" i="40"/>
  <c r="K54" i="40"/>
  <c r="AQ53" i="40"/>
  <c r="AK53" i="40"/>
  <c r="AR53" i="40" s="1"/>
  <c r="Y53" i="40"/>
  <c r="AN53" i="40" s="1"/>
  <c r="O53" i="40"/>
  <c r="U53" i="40" s="1"/>
  <c r="L53" i="40"/>
  <c r="K53" i="40"/>
  <c r="AQ52" i="40"/>
  <c r="AK52" i="40"/>
  <c r="AR52" i="40" s="1"/>
  <c r="Y52" i="40"/>
  <c r="AN52" i="40" s="1"/>
  <c r="O52" i="40"/>
  <c r="L52" i="40"/>
  <c r="K52" i="40"/>
  <c r="K56" i="40" s="1"/>
  <c r="AJ51" i="40"/>
  <c r="AI51" i="40"/>
  <c r="AH51" i="40"/>
  <c r="AG51" i="40"/>
  <c r="AF51" i="40"/>
  <c r="AC51" i="40"/>
  <c r="X51" i="40"/>
  <c r="W51" i="40"/>
  <c r="V51" i="40"/>
  <c r="T51" i="40"/>
  <c r="S51" i="40"/>
  <c r="R51" i="40"/>
  <c r="Q51" i="40"/>
  <c r="P51" i="40"/>
  <c r="N51" i="40"/>
  <c r="J51" i="40"/>
  <c r="AQ50" i="40"/>
  <c r="AK50" i="40"/>
  <c r="AR50" i="40" s="1"/>
  <c r="Y50" i="40"/>
  <c r="AN50" i="40" s="1"/>
  <c r="O50" i="40"/>
  <c r="U50" i="40" s="1"/>
  <c r="L50" i="40"/>
  <c r="K50" i="40"/>
  <c r="AQ49" i="40"/>
  <c r="AK49" i="40"/>
  <c r="AR49" i="40" s="1"/>
  <c r="Y49" i="40"/>
  <c r="AN49" i="40" s="1"/>
  <c r="O49" i="40"/>
  <c r="U49" i="40" s="1"/>
  <c r="AM49" i="40" s="1"/>
  <c r="L49" i="40"/>
  <c r="K49" i="40"/>
  <c r="AQ48" i="40"/>
  <c r="AK48" i="40"/>
  <c r="AR48" i="40" s="1"/>
  <c r="Y48" i="40"/>
  <c r="AN48" i="40" s="1"/>
  <c r="O48" i="40"/>
  <c r="U48" i="40" s="1"/>
  <c r="L48" i="40"/>
  <c r="K48" i="40"/>
  <c r="AQ47" i="40"/>
  <c r="AK47" i="40"/>
  <c r="AR47" i="40" s="1"/>
  <c r="Y47" i="40"/>
  <c r="AN47" i="40" s="1"/>
  <c r="O47" i="40"/>
  <c r="L47" i="40"/>
  <c r="K47" i="40"/>
  <c r="AJ46" i="40"/>
  <c r="AI46" i="40"/>
  <c r="AH46" i="40"/>
  <c r="AG46" i="40"/>
  <c r="AF46" i="40"/>
  <c r="AC46" i="40"/>
  <c r="X46" i="40"/>
  <c r="W46" i="40"/>
  <c r="V46" i="40"/>
  <c r="T46" i="40"/>
  <c r="S46" i="40"/>
  <c r="R46" i="40"/>
  <c r="Q46" i="40"/>
  <c r="P46" i="40"/>
  <c r="N46" i="40"/>
  <c r="J46" i="40"/>
  <c r="AQ45" i="40"/>
  <c r="AK45" i="40"/>
  <c r="AK46" i="40" s="1"/>
  <c r="Y45" i="40"/>
  <c r="O45" i="40"/>
  <c r="O142" i="40" s="1"/>
  <c r="L45" i="40"/>
  <c r="L142" i="40" s="1"/>
  <c r="K45" i="40"/>
  <c r="K46" i="40" s="1"/>
  <c r="AJ44" i="40"/>
  <c r="AI44" i="40"/>
  <c r="AH44" i="40"/>
  <c r="AG44" i="40"/>
  <c r="AF44" i="40"/>
  <c r="AC44" i="40"/>
  <c r="X44" i="40"/>
  <c r="W44" i="40"/>
  <c r="V44" i="40"/>
  <c r="T44" i="40"/>
  <c r="S44" i="40"/>
  <c r="R44" i="40"/>
  <c r="Q44" i="40"/>
  <c r="P44" i="40"/>
  <c r="N44" i="40"/>
  <c r="J44" i="40"/>
  <c r="AQ43" i="40"/>
  <c r="AK43" i="40"/>
  <c r="AR43" i="40" s="1"/>
  <c r="Y43" i="40"/>
  <c r="AN43" i="40" s="1"/>
  <c r="O43" i="40"/>
  <c r="U43" i="40" s="1"/>
  <c r="L43" i="40"/>
  <c r="K43" i="40"/>
  <c r="AQ42" i="40"/>
  <c r="AK42" i="40"/>
  <c r="AR42" i="40" s="1"/>
  <c r="Y42" i="40"/>
  <c r="AN42" i="40" s="1"/>
  <c r="O42" i="40"/>
  <c r="U42" i="40" s="1"/>
  <c r="AB42" i="40" s="1"/>
  <c r="L42" i="40"/>
  <c r="K42" i="40"/>
  <c r="I42" i="40" s="1"/>
  <c r="AQ41" i="40"/>
  <c r="AK41" i="40"/>
  <c r="AR41" i="40" s="1"/>
  <c r="Y41" i="40"/>
  <c r="AN41" i="40" s="1"/>
  <c r="O41" i="40"/>
  <c r="U41" i="40" s="1"/>
  <c r="L41" i="40"/>
  <c r="K41" i="40"/>
  <c r="AQ40" i="40"/>
  <c r="AK40" i="40"/>
  <c r="AR40" i="40" s="1"/>
  <c r="Y40" i="40"/>
  <c r="AN40" i="40" s="1"/>
  <c r="O40" i="40"/>
  <c r="U40" i="40" s="1"/>
  <c r="L40" i="40"/>
  <c r="K40" i="40"/>
  <c r="AQ39" i="40"/>
  <c r="AK39" i="40"/>
  <c r="Y39" i="40"/>
  <c r="O39" i="40"/>
  <c r="L39" i="40"/>
  <c r="K39" i="40"/>
  <c r="AJ38" i="40"/>
  <c r="AI38" i="40"/>
  <c r="AH38" i="40"/>
  <c r="AG38" i="40"/>
  <c r="AF38" i="40"/>
  <c r="AC38" i="40"/>
  <c r="X38" i="40"/>
  <c r="W38" i="40"/>
  <c r="V38" i="40"/>
  <c r="T38" i="40"/>
  <c r="S38" i="40"/>
  <c r="R38" i="40"/>
  <c r="Q38" i="40"/>
  <c r="P38" i="40"/>
  <c r="N38" i="40"/>
  <c r="J38" i="40"/>
  <c r="AQ37" i="40"/>
  <c r="AK37" i="40"/>
  <c r="AR37" i="40" s="1"/>
  <c r="Y37" i="40"/>
  <c r="AN37" i="40" s="1"/>
  <c r="O37" i="40"/>
  <c r="U37" i="40" s="1"/>
  <c r="AM37" i="40" s="1"/>
  <c r="L37" i="40"/>
  <c r="K37" i="40"/>
  <c r="AQ36" i="40"/>
  <c r="AK36" i="40"/>
  <c r="AR36" i="40" s="1"/>
  <c r="Y36" i="40"/>
  <c r="AN36" i="40" s="1"/>
  <c r="O36" i="40"/>
  <c r="U36" i="40" s="1"/>
  <c r="L36" i="40"/>
  <c r="K36" i="40"/>
  <c r="AQ35" i="40"/>
  <c r="AK35" i="40"/>
  <c r="AR35" i="40" s="1"/>
  <c r="Y35" i="40"/>
  <c r="AN35" i="40" s="1"/>
  <c r="O35" i="40"/>
  <c r="L35" i="40"/>
  <c r="K35" i="40"/>
  <c r="AQ34" i="40"/>
  <c r="AK34" i="40"/>
  <c r="Y34" i="40"/>
  <c r="O34" i="40"/>
  <c r="U34" i="40" s="1"/>
  <c r="L34" i="40"/>
  <c r="K34" i="40"/>
  <c r="AJ33" i="40"/>
  <c r="AI33" i="40"/>
  <c r="AH33" i="40"/>
  <c r="AG33" i="40"/>
  <c r="AF33" i="40"/>
  <c r="AC33" i="40"/>
  <c r="X33" i="40"/>
  <c r="W33" i="40"/>
  <c r="V33" i="40"/>
  <c r="T33" i="40"/>
  <c r="S33" i="40"/>
  <c r="R33" i="40"/>
  <c r="Q33" i="40"/>
  <c r="P33" i="40"/>
  <c r="N33" i="40"/>
  <c r="J33" i="40"/>
  <c r="AR32" i="40"/>
  <c r="AQ32" i="40"/>
  <c r="AK32" i="40"/>
  <c r="Y32" i="40"/>
  <c r="AN32" i="40" s="1"/>
  <c r="O32" i="40"/>
  <c r="U32" i="40" s="1"/>
  <c r="AB32" i="40" s="1"/>
  <c r="L32" i="40"/>
  <c r="K32" i="40"/>
  <c r="AQ31" i="40"/>
  <c r="AK31" i="40"/>
  <c r="AR31" i="40" s="1"/>
  <c r="Y31" i="40"/>
  <c r="AN31" i="40" s="1"/>
  <c r="O31" i="40"/>
  <c r="U31" i="40" s="1"/>
  <c r="AB31" i="40" s="1"/>
  <c r="L31" i="40"/>
  <c r="K31" i="40"/>
  <c r="AQ30" i="40"/>
  <c r="AK30" i="40"/>
  <c r="AR30" i="40" s="1"/>
  <c r="Y30" i="40"/>
  <c r="AN30" i="40" s="1"/>
  <c r="O30" i="40"/>
  <c r="U30" i="40" s="1"/>
  <c r="AB30" i="40" s="1"/>
  <c r="L30" i="40"/>
  <c r="K30" i="40"/>
  <c r="AQ29" i="40"/>
  <c r="AK29" i="40"/>
  <c r="AR29" i="40" s="1"/>
  <c r="Y29" i="40"/>
  <c r="AN29" i="40" s="1"/>
  <c r="O29" i="40"/>
  <c r="L29" i="40"/>
  <c r="K29" i="40"/>
  <c r="AJ28" i="40"/>
  <c r="AI28" i="40"/>
  <c r="AH28" i="40"/>
  <c r="AG28" i="40"/>
  <c r="AF28" i="40"/>
  <c r="AC28" i="40"/>
  <c r="X28" i="40"/>
  <c r="W28" i="40"/>
  <c r="V28" i="40"/>
  <c r="T28" i="40"/>
  <c r="S28" i="40"/>
  <c r="R28" i="40"/>
  <c r="Q28" i="40"/>
  <c r="P28" i="40"/>
  <c r="N28" i="40"/>
  <c r="J28" i="40"/>
  <c r="AQ27" i="40"/>
  <c r="AK27" i="40"/>
  <c r="Y27" i="40"/>
  <c r="AN27" i="40" s="1"/>
  <c r="O27" i="40"/>
  <c r="U27" i="40" s="1"/>
  <c r="L27" i="40"/>
  <c r="K27" i="40"/>
  <c r="AQ26" i="40"/>
  <c r="AQ138" i="40" s="1"/>
  <c r="AK26" i="40"/>
  <c r="AK138" i="40" s="1"/>
  <c r="Y26" i="40"/>
  <c r="Y138" i="40" s="1"/>
  <c r="O26" i="40"/>
  <c r="O138" i="40" s="1"/>
  <c r="L26" i="40"/>
  <c r="K26" i="40"/>
  <c r="K138" i="40" s="1"/>
  <c r="AQ25" i="40"/>
  <c r="AK25" i="40"/>
  <c r="AR25" i="40" s="1"/>
  <c r="Y25" i="40"/>
  <c r="AN25" i="40" s="1"/>
  <c r="O25" i="40"/>
  <c r="U25" i="40" s="1"/>
  <c r="L25" i="40"/>
  <c r="K25" i="40"/>
  <c r="AQ24" i="40"/>
  <c r="AK24" i="40"/>
  <c r="AR24" i="40" s="1"/>
  <c r="Y24" i="40"/>
  <c r="AN24" i="40" s="1"/>
  <c r="O24" i="40"/>
  <c r="U24" i="40" s="1"/>
  <c r="L24" i="40"/>
  <c r="K24" i="40"/>
  <c r="AQ23" i="40"/>
  <c r="AK23" i="40"/>
  <c r="AR23" i="40" s="1"/>
  <c r="Y23" i="40"/>
  <c r="O23" i="40"/>
  <c r="L23" i="40"/>
  <c r="K23" i="40"/>
  <c r="AJ22" i="40"/>
  <c r="AI22" i="40"/>
  <c r="AH22" i="40"/>
  <c r="AG22" i="40"/>
  <c r="AF22" i="40"/>
  <c r="AE22" i="40"/>
  <c r="AE130" i="40" s="1"/>
  <c r="X20" i="47" s="1"/>
  <c r="AC22" i="40"/>
  <c r="X22" i="40"/>
  <c r="W22" i="40"/>
  <c r="V22" i="40"/>
  <c r="T22" i="40"/>
  <c r="S22" i="40"/>
  <c r="R22" i="40"/>
  <c r="Q22" i="40"/>
  <c r="P22" i="40"/>
  <c r="N22" i="40"/>
  <c r="J22" i="40"/>
  <c r="AR21" i="40"/>
  <c r="AQ21" i="40"/>
  <c r="AK21" i="40"/>
  <c r="Y21" i="40"/>
  <c r="Y143" i="40" s="1"/>
  <c r="O21" i="40"/>
  <c r="O143" i="40" s="1"/>
  <c r="L21" i="40"/>
  <c r="K21" i="40"/>
  <c r="K143" i="40" s="1"/>
  <c r="AJ20" i="40"/>
  <c r="AI20" i="40"/>
  <c r="AH20" i="40"/>
  <c r="AG20" i="40"/>
  <c r="AF20" i="40"/>
  <c r="AC20" i="40"/>
  <c r="X20" i="40"/>
  <c r="W20" i="40"/>
  <c r="V20" i="40"/>
  <c r="T20" i="40"/>
  <c r="S20" i="40"/>
  <c r="R20" i="40"/>
  <c r="Q20" i="40"/>
  <c r="P20" i="40"/>
  <c r="N20" i="40"/>
  <c r="J20" i="40"/>
  <c r="AQ19" i="40"/>
  <c r="AK19" i="40"/>
  <c r="AR19" i="40" s="1"/>
  <c r="Y19" i="40"/>
  <c r="AN19" i="40" s="1"/>
  <c r="O19" i="40"/>
  <c r="U19" i="40" s="1"/>
  <c r="AM19" i="40" s="1"/>
  <c r="L19" i="40"/>
  <c r="K19" i="40"/>
  <c r="AQ18" i="40"/>
  <c r="AK18" i="40"/>
  <c r="AR18" i="40" s="1"/>
  <c r="Y18" i="40"/>
  <c r="AN18" i="40" s="1"/>
  <c r="O18" i="40"/>
  <c r="U18" i="40" s="1"/>
  <c r="L18" i="40"/>
  <c r="K18" i="40"/>
  <c r="AJ17" i="40"/>
  <c r="AI17" i="40"/>
  <c r="AH17" i="40"/>
  <c r="AG17" i="40"/>
  <c r="AF17" i="40"/>
  <c r="AC17" i="40"/>
  <c r="X17" i="40"/>
  <c r="W17" i="40"/>
  <c r="V17" i="40"/>
  <c r="T17" i="40"/>
  <c r="S17" i="40"/>
  <c r="R17" i="40"/>
  <c r="Q17" i="40"/>
  <c r="P17" i="40"/>
  <c r="N17" i="40"/>
  <c r="J17" i="40"/>
  <c r="AQ16" i="40"/>
  <c r="AK16" i="40"/>
  <c r="AR16" i="40" s="1"/>
  <c r="Y16" i="40"/>
  <c r="AN16" i="40" s="1"/>
  <c r="O16" i="40"/>
  <c r="U16" i="40" s="1"/>
  <c r="L16" i="40"/>
  <c r="K16" i="40"/>
  <c r="AQ15" i="40"/>
  <c r="AK15" i="40"/>
  <c r="AR15" i="40" s="1"/>
  <c r="Y15" i="40"/>
  <c r="AN15" i="40" s="1"/>
  <c r="O15" i="40"/>
  <c r="U15" i="40" s="1"/>
  <c r="L15" i="40"/>
  <c r="K15" i="40"/>
  <c r="AJ14" i="40"/>
  <c r="AI14" i="40"/>
  <c r="AH14" i="40"/>
  <c r="AG14" i="40"/>
  <c r="AF14" i="40"/>
  <c r="AC14" i="40"/>
  <c r="X14" i="40"/>
  <c r="W14" i="40"/>
  <c r="V14" i="40"/>
  <c r="T14" i="40"/>
  <c r="S14" i="40"/>
  <c r="R14" i="40"/>
  <c r="Q14" i="40"/>
  <c r="P14" i="40"/>
  <c r="N14" i="40"/>
  <c r="J14" i="40"/>
  <c r="AQ13" i="40"/>
  <c r="AK13" i="40"/>
  <c r="AR13" i="40" s="1"/>
  <c r="Y13" i="40"/>
  <c r="AN13" i="40" s="1"/>
  <c r="O13" i="40"/>
  <c r="U13" i="40" s="1"/>
  <c r="L13" i="40"/>
  <c r="K13" i="40"/>
  <c r="AQ12" i="40"/>
  <c r="AK12" i="40"/>
  <c r="Y12" i="40"/>
  <c r="O12" i="40"/>
  <c r="L12" i="40"/>
  <c r="K12" i="40"/>
  <c r="AJ110" i="39"/>
  <c r="AI110" i="39"/>
  <c r="AH110" i="39"/>
  <c r="AG110" i="39"/>
  <c r="AF110" i="39"/>
  <c r="AE110" i="39"/>
  <c r="AC110" i="39"/>
  <c r="X110" i="39"/>
  <c r="W110" i="39"/>
  <c r="V110" i="39"/>
  <c r="T110" i="39"/>
  <c r="S110" i="39"/>
  <c r="R110" i="39"/>
  <c r="Q110" i="39"/>
  <c r="P110" i="39"/>
  <c r="N110" i="39"/>
  <c r="M110" i="39"/>
  <c r="J110" i="39"/>
  <c r="AJ109" i="39"/>
  <c r="AI109" i="39"/>
  <c r="AH109" i="39"/>
  <c r="AG109" i="39"/>
  <c r="AF109" i="39"/>
  <c r="AE109" i="39"/>
  <c r="AC109" i="39"/>
  <c r="X109" i="39"/>
  <c r="W109" i="39"/>
  <c r="V109" i="39"/>
  <c r="T109" i="39"/>
  <c r="S109" i="39"/>
  <c r="R109" i="39"/>
  <c r="Q109" i="39"/>
  <c r="P109" i="39"/>
  <c r="N109" i="39"/>
  <c r="M109" i="39"/>
  <c r="J109" i="39"/>
  <c r="AJ108" i="39"/>
  <c r="AI108" i="39"/>
  <c r="AH108" i="39"/>
  <c r="AG108" i="39"/>
  <c r="AF108" i="39"/>
  <c r="AE108" i="39"/>
  <c r="AC108" i="39"/>
  <c r="X108" i="39"/>
  <c r="W108" i="39"/>
  <c r="V108" i="39"/>
  <c r="T108" i="39"/>
  <c r="S108" i="39"/>
  <c r="R108" i="39"/>
  <c r="Q108" i="39"/>
  <c r="P108" i="39"/>
  <c r="N108" i="39"/>
  <c r="M108" i="39"/>
  <c r="J108" i="39"/>
  <c r="AR107" i="39"/>
  <c r="AQ107" i="39"/>
  <c r="AP107" i="39"/>
  <c r="AO107" i="39"/>
  <c r="AN107" i="39"/>
  <c r="AM107" i="39"/>
  <c r="AL107" i="39"/>
  <c r="AK107" i="39"/>
  <c r="AJ107" i="39"/>
  <c r="AI107" i="39"/>
  <c r="AH107" i="39"/>
  <c r="AG107" i="39"/>
  <c r="AF107" i="39"/>
  <c r="AE107" i="39"/>
  <c r="AD107" i="39"/>
  <c r="AC107" i="39"/>
  <c r="AB107" i="39"/>
  <c r="AA107" i="39"/>
  <c r="Z107" i="39"/>
  <c r="Y107" i="39"/>
  <c r="X107" i="39"/>
  <c r="W107" i="39"/>
  <c r="V107" i="39"/>
  <c r="U107" i="39"/>
  <c r="T107" i="39"/>
  <c r="S107" i="39"/>
  <c r="R107" i="39"/>
  <c r="Q107" i="39"/>
  <c r="P107" i="39"/>
  <c r="O107" i="39"/>
  <c r="N107" i="39"/>
  <c r="M107" i="39"/>
  <c r="L107" i="39"/>
  <c r="K107" i="39"/>
  <c r="J107" i="39"/>
  <c r="I107" i="39"/>
  <c r="AR106" i="39"/>
  <c r="AQ106" i="39"/>
  <c r="AP106" i="39"/>
  <c r="AO106" i="39"/>
  <c r="AN106" i="39"/>
  <c r="AM106" i="39"/>
  <c r="AL106" i="39"/>
  <c r="AK106" i="39"/>
  <c r="AJ106" i="39"/>
  <c r="AI106" i="39"/>
  <c r="AH106" i="39"/>
  <c r="AG106" i="39"/>
  <c r="AF106" i="39"/>
  <c r="AE106" i="39"/>
  <c r="AD106" i="39"/>
  <c r="AC106" i="39"/>
  <c r="AB106" i="39"/>
  <c r="AA106" i="39"/>
  <c r="Z106" i="39"/>
  <c r="Y106" i="39"/>
  <c r="X106" i="39"/>
  <c r="W106" i="39"/>
  <c r="W100" i="39" s="1"/>
  <c r="V106" i="39"/>
  <c r="U106" i="39"/>
  <c r="T106" i="39"/>
  <c r="S106" i="39"/>
  <c r="R106" i="39"/>
  <c r="Q106" i="39"/>
  <c r="P106" i="39"/>
  <c r="O106" i="39"/>
  <c r="N106" i="39"/>
  <c r="M106" i="39"/>
  <c r="L106" i="39"/>
  <c r="K106" i="39"/>
  <c r="J106" i="39"/>
  <c r="I106" i="39"/>
  <c r="AR105" i="39"/>
  <c r="AQ105" i="39"/>
  <c r="AP105" i="39"/>
  <c r="AO105" i="39"/>
  <c r="AN105" i="39"/>
  <c r="AM105" i="39"/>
  <c r="AL105" i="39"/>
  <c r="AK105" i="39"/>
  <c r="AJ105" i="39"/>
  <c r="AI105" i="39"/>
  <c r="AI100" i="39" s="1"/>
  <c r="AH105" i="39"/>
  <c r="AG105" i="39"/>
  <c r="AF105" i="39"/>
  <c r="AE105" i="39"/>
  <c r="AD105" i="39"/>
  <c r="AC105" i="39"/>
  <c r="AB105" i="39"/>
  <c r="AA105" i="39"/>
  <c r="Z105" i="39"/>
  <c r="Y105" i="39"/>
  <c r="X105" i="39"/>
  <c r="W105" i="39"/>
  <c r="V105" i="39"/>
  <c r="U105" i="39"/>
  <c r="T105" i="39"/>
  <c r="S105" i="39"/>
  <c r="R105" i="39"/>
  <c r="Q105" i="39"/>
  <c r="P105" i="39"/>
  <c r="O105" i="39"/>
  <c r="N105" i="39"/>
  <c r="M105" i="39"/>
  <c r="L105" i="39"/>
  <c r="K105" i="39"/>
  <c r="J105" i="39"/>
  <c r="I105" i="39"/>
  <c r="AJ104" i="39"/>
  <c r="AI104" i="39"/>
  <c r="AH104" i="39"/>
  <c r="AG104" i="39"/>
  <c r="AE104" i="39"/>
  <c r="AC104" i="39"/>
  <c r="AC100" i="39" s="1"/>
  <c r="X104" i="39"/>
  <c r="W104" i="39"/>
  <c r="V104" i="39"/>
  <c r="T104" i="39"/>
  <c r="S104" i="39"/>
  <c r="R104" i="39"/>
  <c r="Q104" i="39"/>
  <c r="N104" i="39"/>
  <c r="N100" i="39" s="1"/>
  <c r="M104" i="39"/>
  <c r="J104" i="39"/>
  <c r="AJ103" i="39"/>
  <c r="AI103" i="39"/>
  <c r="AH103" i="39"/>
  <c r="AG103" i="39"/>
  <c r="AF103" i="39"/>
  <c r="AE103" i="39"/>
  <c r="AC103" i="39"/>
  <c r="X103" i="39"/>
  <c r="W103" i="39"/>
  <c r="V103" i="39"/>
  <c r="T103" i="39"/>
  <c r="S103" i="39"/>
  <c r="R103" i="39"/>
  <c r="Q103" i="39"/>
  <c r="Q100" i="39" s="1"/>
  <c r="P103" i="39"/>
  <c r="N103" i="39"/>
  <c r="M103" i="39"/>
  <c r="J103" i="39"/>
  <c r="AJ102" i="39"/>
  <c r="AI102" i="39"/>
  <c r="AH102" i="39"/>
  <c r="AG102" i="39"/>
  <c r="AE102" i="39"/>
  <c r="AC102" i="39"/>
  <c r="X102" i="39"/>
  <c r="W102" i="39"/>
  <c r="V102" i="39"/>
  <c r="T102" i="39"/>
  <c r="S102" i="39"/>
  <c r="R102" i="39"/>
  <c r="Q102" i="39"/>
  <c r="N102" i="39"/>
  <c r="M102" i="39"/>
  <c r="J102" i="39"/>
  <c r="AJ101" i="39"/>
  <c r="AI101" i="39"/>
  <c r="AH101" i="39"/>
  <c r="AH100" i="39" s="1"/>
  <c r="AG101" i="39"/>
  <c r="AE101" i="39"/>
  <c r="AE100" i="39" s="1"/>
  <c r="AC101" i="39"/>
  <c r="X101" i="39"/>
  <c r="W101" i="39"/>
  <c r="V101" i="39"/>
  <c r="T101" i="39"/>
  <c r="S101" i="39"/>
  <c r="R101" i="39"/>
  <c r="R100" i="39" s="1"/>
  <c r="Q101" i="39"/>
  <c r="N101" i="39"/>
  <c r="M101" i="39"/>
  <c r="J101" i="39"/>
  <c r="J100" i="39" s="1"/>
  <c r="V100" i="39"/>
  <c r="O99" i="39" s="1"/>
  <c r="AJ96" i="39"/>
  <c r="AI96" i="39"/>
  <c r="AH96" i="39"/>
  <c r="AG96" i="39"/>
  <c r="AF96" i="39"/>
  <c r="AC96" i="39"/>
  <c r="X96" i="39"/>
  <c r="W96" i="39"/>
  <c r="V96" i="39"/>
  <c r="T96" i="39"/>
  <c r="S96" i="39"/>
  <c r="R96" i="39"/>
  <c r="Q96" i="39"/>
  <c r="P96" i="39"/>
  <c r="N96" i="39"/>
  <c r="J96" i="39"/>
  <c r="AQ95" i="39"/>
  <c r="AK95" i="39"/>
  <c r="AR95" i="39" s="1"/>
  <c r="Y95" i="39"/>
  <c r="AN95" i="39" s="1"/>
  <c r="U95" i="39"/>
  <c r="O95" i="39"/>
  <c r="L95" i="39"/>
  <c r="K95" i="39"/>
  <c r="I95" i="39" s="1"/>
  <c r="AQ94" i="39"/>
  <c r="AK94" i="39"/>
  <c r="AR94" i="39" s="1"/>
  <c r="Y94" i="39"/>
  <c r="AN94" i="39" s="1"/>
  <c r="O94" i="39"/>
  <c r="U94" i="39" s="1"/>
  <c r="L94" i="39"/>
  <c r="K94" i="39"/>
  <c r="AQ93" i="39"/>
  <c r="AQ96" i="39" s="1"/>
  <c r="AK93" i="39"/>
  <c r="Y93" i="39"/>
  <c r="AN93" i="39" s="1"/>
  <c r="U93" i="39"/>
  <c r="O93" i="39"/>
  <c r="O96" i="39" s="1"/>
  <c r="L93" i="39"/>
  <c r="L96" i="39" s="1"/>
  <c r="K93" i="39"/>
  <c r="K96" i="39" s="1"/>
  <c r="AJ92" i="39"/>
  <c r="AI92" i="39"/>
  <c r="AH92" i="39"/>
  <c r="AG92" i="39"/>
  <c r="AF92" i="39"/>
  <c r="AC92" i="39"/>
  <c r="X92" i="39"/>
  <c r="W92" i="39"/>
  <c r="V92" i="39"/>
  <c r="T92" i="39"/>
  <c r="S92" i="39"/>
  <c r="R92" i="39"/>
  <c r="Q92" i="39"/>
  <c r="P92" i="39"/>
  <c r="N92" i="39"/>
  <c r="J92" i="39"/>
  <c r="AQ91" i="39"/>
  <c r="AK91" i="39"/>
  <c r="AR91" i="39" s="1"/>
  <c r="Y91" i="39"/>
  <c r="AN91" i="39" s="1"/>
  <c r="O91" i="39"/>
  <c r="U91" i="39" s="1"/>
  <c r="L91" i="39"/>
  <c r="K91" i="39"/>
  <c r="AQ90" i="39"/>
  <c r="AK90" i="39"/>
  <c r="Y90" i="39"/>
  <c r="AN90" i="39" s="1"/>
  <c r="O90" i="39"/>
  <c r="L90" i="39"/>
  <c r="K90" i="39"/>
  <c r="K92" i="39" s="1"/>
  <c r="AJ89" i="39"/>
  <c r="AI89" i="39"/>
  <c r="AH89" i="39"/>
  <c r="AG89" i="39"/>
  <c r="AF89" i="39"/>
  <c r="AC89" i="39"/>
  <c r="X89" i="39"/>
  <c r="W89" i="39"/>
  <c r="V89" i="39"/>
  <c r="T89" i="39"/>
  <c r="S89" i="39"/>
  <c r="R89" i="39"/>
  <c r="Q89" i="39"/>
  <c r="P89" i="39"/>
  <c r="N89" i="39"/>
  <c r="J89" i="39"/>
  <c r="AQ88" i="39"/>
  <c r="AK88" i="39"/>
  <c r="AR88" i="39" s="1"/>
  <c r="Y88" i="39"/>
  <c r="AN88" i="39" s="1"/>
  <c r="O88" i="39"/>
  <c r="U88" i="39" s="1"/>
  <c r="AA88" i="39" s="1"/>
  <c r="AO88" i="39" s="1"/>
  <c r="L88" i="39"/>
  <c r="K88" i="39"/>
  <c r="AQ87" i="39"/>
  <c r="AK87" i="39"/>
  <c r="AR87" i="39" s="1"/>
  <c r="Y87" i="39"/>
  <c r="AN87" i="39" s="1"/>
  <c r="U87" i="39"/>
  <c r="O87" i="39"/>
  <c r="L87" i="39"/>
  <c r="K87" i="39"/>
  <c r="AQ86" i="39"/>
  <c r="AK86" i="39"/>
  <c r="AR86" i="39" s="1"/>
  <c r="Y86" i="39"/>
  <c r="AN86" i="39" s="1"/>
  <c r="U86" i="39"/>
  <c r="AA86" i="39" s="1"/>
  <c r="AO86" i="39" s="1"/>
  <c r="O86" i="39"/>
  <c r="L86" i="39"/>
  <c r="K86" i="39"/>
  <c r="AQ85" i="39"/>
  <c r="AK85" i="39"/>
  <c r="AR85" i="39" s="1"/>
  <c r="Y85" i="39"/>
  <c r="AN85" i="39" s="1"/>
  <c r="AN89" i="39" s="1"/>
  <c r="O85" i="39"/>
  <c r="O89" i="39" s="1"/>
  <c r="L85" i="39"/>
  <c r="K85" i="39"/>
  <c r="AJ84" i="39"/>
  <c r="AI84" i="39"/>
  <c r="AH84" i="39"/>
  <c r="AG84" i="39"/>
  <c r="AC84" i="39"/>
  <c r="X84" i="39"/>
  <c r="W84" i="39"/>
  <c r="V84" i="39"/>
  <c r="T84" i="39"/>
  <c r="S84" i="39"/>
  <c r="R84" i="39"/>
  <c r="Q84" i="39"/>
  <c r="P84" i="39"/>
  <c r="N84" i="39"/>
  <c r="J84" i="39"/>
  <c r="AQ83" i="39"/>
  <c r="AN83" i="39"/>
  <c r="AK83" i="39"/>
  <c r="AR83" i="39" s="1"/>
  <c r="Y83" i="39"/>
  <c r="O83" i="39"/>
  <c r="U83" i="39" s="1"/>
  <c r="AA83" i="39" s="1"/>
  <c r="L83" i="39"/>
  <c r="K83" i="39"/>
  <c r="AQ82" i="39"/>
  <c r="AF82" i="39"/>
  <c r="AF84" i="39" s="1"/>
  <c r="Y82" i="39"/>
  <c r="AN82" i="39" s="1"/>
  <c r="P82" i="39"/>
  <c r="O82" i="39"/>
  <c r="U82" i="39" s="1"/>
  <c r="L82" i="39"/>
  <c r="K82" i="39"/>
  <c r="AQ81" i="39"/>
  <c r="AK81" i="39"/>
  <c r="AR81" i="39" s="1"/>
  <c r="Y81" i="39"/>
  <c r="AN81" i="39" s="1"/>
  <c r="O81" i="39"/>
  <c r="U81" i="39" s="1"/>
  <c r="L81" i="39"/>
  <c r="K81" i="39"/>
  <c r="AQ80" i="39"/>
  <c r="AK80" i="39"/>
  <c r="AR80" i="39" s="1"/>
  <c r="Y80" i="39"/>
  <c r="AN80" i="39" s="1"/>
  <c r="O80" i="39"/>
  <c r="L80" i="39"/>
  <c r="K80" i="39"/>
  <c r="AJ79" i="39"/>
  <c r="AI79" i="39"/>
  <c r="AH79" i="39"/>
  <c r="AG79" i="39"/>
  <c r="AF79" i="39"/>
  <c r="AC79" i="39"/>
  <c r="X79" i="39"/>
  <c r="W79" i="39"/>
  <c r="V79" i="39"/>
  <c r="T79" i="39"/>
  <c r="S79" i="39"/>
  <c r="R79" i="39"/>
  <c r="Q79" i="39"/>
  <c r="P79" i="39"/>
  <c r="N79" i="39"/>
  <c r="J79" i="39"/>
  <c r="AQ78" i="39"/>
  <c r="AK78" i="39"/>
  <c r="AR78" i="39" s="1"/>
  <c r="Y78" i="39"/>
  <c r="AN78" i="39" s="1"/>
  <c r="O78" i="39"/>
  <c r="U78" i="39" s="1"/>
  <c r="AB78" i="39" s="1"/>
  <c r="L78" i="39"/>
  <c r="K78" i="39"/>
  <c r="AQ77" i="39"/>
  <c r="AK77" i="39"/>
  <c r="AR77" i="39" s="1"/>
  <c r="Y77" i="39"/>
  <c r="AN77" i="39" s="1"/>
  <c r="O77" i="39"/>
  <c r="U77" i="39" s="1"/>
  <c r="L77" i="39"/>
  <c r="K77" i="39"/>
  <c r="AQ76" i="39"/>
  <c r="AK76" i="39"/>
  <c r="AR76" i="39" s="1"/>
  <c r="Y76" i="39"/>
  <c r="AN76" i="39" s="1"/>
  <c r="O76" i="39"/>
  <c r="U76" i="39" s="1"/>
  <c r="L76" i="39"/>
  <c r="K76" i="39"/>
  <c r="I76" i="39" s="1"/>
  <c r="AQ75" i="39"/>
  <c r="AK75" i="39"/>
  <c r="Y75" i="39"/>
  <c r="U75" i="39"/>
  <c r="O75" i="39"/>
  <c r="L75" i="39"/>
  <c r="K75" i="39"/>
  <c r="AJ74" i="39"/>
  <c r="AI74" i="39"/>
  <c r="AH74" i="39"/>
  <c r="AG74" i="39"/>
  <c r="AF74" i="39"/>
  <c r="AC74" i="39"/>
  <c r="X74" i="39"/>
  <c r="W74" i="39"/>
  <c r="V74" i="39"/>
  <c r="T74" i="39"/>
  <c r="S74" i="39"/>
  <c r="R74" i="39"/>
  <c r="Q74" i="39"/>
  <c r="P74" i="39"/>
  <c r="N74" i="39"/>
  <c r="J74" i="39"/>
  <c r="AQ73" i="39"/>
  <c r="AK73" i="39"/>
  <c r="AR73" i="39" s="1"/>
  <c r="Z73" i="39"/>
  <c r="Y73" i="39"/>
  <c r="AN73" i="39" s="1"/>
  <c r="O73" i="39"/>
  <c r="U73" i="39" s="1"/>
  <c r="L73" i="39"/>
  <c r="K73" i="39"/>
  <c r="I73" i="39"/>
  <c r="AQ72" i="39"/>
  <c r="AK72" i="39"/>
  <c r="AR72" i="39" s="1"/>
  <c r="Y72" i="39"/>
  <c r="AN72" i="39" s="1"/>
  <c r="O72" i="39"/>
  <c r="U72" i="39" s="1"/>
  <c r="L72" i="39"/>
  <c r="K72" i="39"/>
  <c r="AQ71" i="39"/>
  <c r="AK71" i="39"/>
  <c r="AR71" i="39" s="1"/>
  <c r="Y71" i="39"/>
  <c r="AN71" i="39" s="1"/>
  <c r="O71" i="39"/>
  <c r="L71" i="39"/>
  <c r="K71" i="39"/>
  <c r="AQ70" i="39"/>
  <c r="AK70" i="39"/>
  <c r="AR70" i="39" s="1"/>
  <c r="Y70" i="39"/>
  <c r="AN70" i="39" s="1"/>
  <c r="O70" i="39"/>
  <c r="U70" i="39" s="1"/>
  <c r="L70" i="39"/>
  <c r="K70" i="39"/>
  <c r="I70" i="39" s="1"/>
  <c r="AJ69" i="39"/>
  <c r="AI69" i="39"/>
  <c r="AH69" i="39"/>
  <c r="AG69" i="39"/>
  <c r="AF69" i="39"/>
  <c r="AC69" i="39"/>
  <c r="X69" i="39"/>
  <c r="W69" i="39"/>
  <c r="V69" i="39"/>
  <c r="T69" i="39"/>
  <c r="S69" i="39"/>
  <c r="R69" i="39"/>
  <c r="Q69" i="39"/>
  <c r="P69" i="39"/>
  <c r="N69" i="39"/>
  <c r="J69" i="39"/>
  <c r="AQ68" i="39"/>
  <c r="AK68" i="39"/>
  <c r="AR68" i="39" s="1"/>
  <c r="Y68" i="39"/>
  <c r="AN68" i="39" s="1"/>
  <c r="U68" i="39"/>
  <c r="O68" i="39"/>
  <c r="L68" i="39"/>
  <c r="K68" i="39"/>
  <c r="AQ67" i="39"/>
  <c r="AN67" i="39"/>
  <c r="AK67" i="39"/>
  <c r="AR67" i="39" s="1"/>
  <c r="Y67" i="39"/>
  <c r="O67" i="39"/>
  <c r="U67" i="39" s="1"/>
  <c r="L67" i="39"/>
  <c r="K67" i="39"/>
  <c r="AQ66" i="39"/>
  <c r="AK66" i="39"/>
  <c r="AR66" i="39" s="1"/>
  <c r="Y66" i="39"/>
  <c r="AN66" i="39" s="1"/>
  <c r="O66" i="39"/>
  <c r="U66" i="39" s="1"/>
  <c r="L66" i="39"/>
  <c r="K66" i="39"/>
  <c r="AQ65" i="39"/>
  <c r="AK65" i="39"/>
  <c r="AR65" i="39" s="1"/>
  <c r="AR69" i="39" s="1"/>
  <c r="Y65" i="39"/>
  <c r="Y69" i="39" s="1"/>
  <c r="O65" i="39"/>
  <c r="L65" i="39"/>
  <c r="K65" i="39"/>
  <c r="AJ64" i="39"/>
  <c r="AI64" i="39"/>
  <c r="AH64" i="39"/>
  <c r="AG64" i="39"/>
  <c r="AF64" i="39"/>
  <c r="AC64" i="39"/>
  <c r="X64" i="39"/>
  <c r="W64" i="39"/>
  <c r="V64" i="39"/>
  <c r="T64" i="39"/>
  <c r="S64" i="39"/>
  <c r="R64" i="39"/>
  <c r="Q64" i="39"/>
  <c r="P64" i="39"/>
  <c r="N64" i="39"/>
  <c r="J64" i="39"/>
  <c r="AQ63" i="39"/>
  <c r="AK63" i="39"/>
  <c r="AR63" i="39" s="1"/>
  <c r="Y63" i="39"/>
  <c r="AN63" i="39" s="1"/>
  <c r="O63" i="39"/>
  <c r="U63" i="39" s="1"/>
  <c r="AM63" i="39" s="1"/>
  <c r="L63" i="39"/>
  <c r="K63" i="39"/>
  <c r="AQ62" i="39"/>
  <c r="AK62" i="39"/>
  <c r="AR62" i="39" s="1"/>
  <c r="Y62" i="39"/>
  <c r="AN62" i="39" s="1"/>
  <c r="O62" i="39"/>
  <c r="U62" i="39" s="1"/>
  <c r="L62" i="39"/>
  <c r="K62" i="39"/>
  <c r="AQ61" i="39"/>
  <c r="AN61" i="39"/>
  <c r="AK61" i="39"/>
  <c r="AR61" i="39" s="1"/>
  <c r="Y61" i="39"/>
  <c r="U61" i="39"/>
  <c r="AA61" i="39" s="1"/>
  <c r="O61" i="39"/>
  <c r="L61" i="39"/>
  <c r="K61" i="39"/>
  <c r="AQ60" i="39"/>
  <c r="AN60" i="39"/>
  <c r="AK60" i="39"/>
  <c r="AR60" i="39" s="1"/>
  <c r="Y60" i="39"/>
  <c r="O60" i="39"/>
  <c r="L60" i="39"/>
  <c r="K60" i="39"/>
  <c r="AJ59" i="39"/>
  <c r="AI59" i="39"/>
  <c r="AH59" i="39"/>
  <c r="AG59" i="39"/>
  <c r="AC59" i="39"/>
  <c r="X59" i="39"/>
  <c r="W59" i="39"/>
  <c r="V59" i="39"/>
  <c r="T59" i="39"/>
  <c r="S59" i="39"/>
  <c r="R59" i="39"/>
  <c r="Q59" i="39"/>
  <c r="N59" i="39"/>
  <c r="J59" i="39"/>
  <c r="AQ58" i="39"/>
  <c r="AM58" i="39"/>
  <c r="AK58" i="39"/>
  <c r="AR58" i="39" s="1"/>
  <c r="Z58" i="39"/>
  <c r="Y58" i="39"/>
  <c r="AN58" i="39" s="1"/>
  <c r="O58" i="39"/>
  <c r="U58" i="39" s="1"/>
  <c r="L58" i="39"/>
  <c r="K58" i="39"/>
  <c r="AQ57" i="39"/>
  <c r="AF57" i="39"/>
  <c r="Y57" i="39"/>
  <c r="AN57" i="39" s="1"/>
  <c r="P57" i="39"/>
  <c r="P59" i="39" s="1"/>
  <c r="O57" i="39"/>
  <c r="U57" i="39" s="1"/>
  <c r="AB57" i="39" s="1"/>
  <c r="L57" i="39"/>
  <c r="K57" i="39"/>
  <c r="AQ56" i="39"/>
  <c r="AK56" i="39"/>
  <c r="AR56" i="39" s="1"/>
  <c r="AA56" i="39"/>
  <c r="Y56" i="39"/>
  <c r="AN56" i="39" s="1"/>
  <c r="O56" i="39"/>
  <c r="U56" i="39" s="1"/>
  <c r="L56" i="39"/>
  <c r="K56" i="39"/>
  <c r="AR55" i="39"/>
  <c r="AQ55" i="39"/>
  <c r="AK55" i="39"/>
  <c r="AA55" i="39"/>
  <c r="Y55" i="39"/>
  <c r="O55" i="39"/>
  <c r="U55" i="39" s="1"/>
  <c r="U59" i="39" s="1"/>
  <c r="L55" i="39"/>
  <c r="K55" i="39"/>
  <c r="AJ54" i="39"/>
  <c r="AI54" i="39"/>
  <c r="AH54" i="39"/>
  <c r="AG54" i="39"/>
  <c r="AF54" i="39"/>
  <c r="AC54" i="39"/>
  <c r="X54" i="39"/>
  <c r="W54" i="39"/>
  <c r="V54" i="39"/>
  <c r="T54" i="39"/>
  <c r="S54" i="39"/>
  <c r="R54" i="39"/>
  <c r="Q54" i="39"/>
  <c r="P54" i="39"/>
  <c r="N54" i="39"/>
  <c r="J54" i="39"/>
  <c r="AQ53" i="39"/>
  <c r="AK53" i="39"/>
  <c r="AR53" i="39" s="1"/>
  <c r="Y53" i="39"/>
  <c r="AN53" i="39" s="1"/>
  <c r="O53" i="39"/>
  <c r="U53" i="39" s="1"/>
  <c r="L53" i="39"/>
  <c r="K53" i="39"/>
  <c r="AQ52" i="39"/>
  <c r="AK52" i="39"/>
  <c r="AR52" i="39" s="1"/>
  <c r="Y52" i="39"/>
  <c r="O52" i="39"/>
  <c r="U52" i="39" s="1"/>
  <c r="AA52" i="39" s="1"/>
  <c r="L52" i="39"/>
  <c r="K52" i="39"/>
  <c r="AQ51" i="39"/>
  <c r="AK51" i="39"/>
  <c r="AR51" i="39" s="1"/>
  <c r="Y51" i="39"/>
  <c r="AN51" i="39" s="1"/>
  <c r="O51" i="39"/>
  <c r="U51" i="39" s="1"/>
  <c r="L51" i="39"/>
  <c r="K51" i="39"/>
  <c r="AQ50" i="39"/>
  <c r="AN50" i="39"/>
  <c r="AK50" i="39"/>
  <c r="AR50" i="39" s="1"/>
  <c r="Y50" i="39"/>
  <c r="O50" i="39"/>
  <c r="L50" i="39"/>
  <c r="K50" i="39"/>
  <c r="AJ49" i="39"/>
  <c r="AI49" i="39"/>
  <c r="AH49" i="39"/>
  <c r="AG49" i="39"/>
  <c r="AF49" i="39"/>
  <c r="AC49" i="39"/>
  <c r="X49" i="39"/>
  <c r="W49" i="39"/>
  <c r="V49" i="39"/>
  <c r="T49" i="39"/>
  <c r="S49" i="39"/>
  <c r="R49" i="39"/>
  <c r="Q49" i="39"/>
  <c r="P49" i="39"/>
  <c r="N49" i="39"/>
  <c r="J49" i="39"/>
  <c r="AR48" i="39"/>
  <c r="AR49" i="39" s="1"/>
  <c r="AQ48" i="39"/>
  <c r="AQ49" i="39" s="1"/>
  <c r="AK48" i="39"/>
  <c r="AK49" i="39" s="1"/>
  <c r="Y48" i="39"/>
  <c r="O48" i="39"/>
  <c r="U48" i="39" s="1"/>
  <c r="AB48" i="39" s="1"/>
  <c r="AB49" i="39" s="1"/>
  <c r="L48" i="39"/>
  <c r="K48" i="39"/>
  <c r="K49" i="39" s="1"/>
  <c r="AJ47" i="39"/>
  <c r="AI47" i="39"/>
  <c r="AH47" i="39"/>
  <c r="AG47" i="39"/>
  <c r="AF47" i="39"/>
  <c r="AC47" i="39"/>
  <c r="X47" i="39"/>
  <c r="W47" i="39"/>
  <c r="V47" i="39"/>
  <c r="T47" i="39"/>
  <c r="S47" i="39"/>
  <c r="R47" i="39"/>
  <c r="Q47" i="39"/>
  <c r="P47" i="39"/>
  <c r="N47" i="39"/>
  <c r="J47" i="39"/>
  <c r="AQ46" i="39"/>
  <c r="AK46" i="39"/>
  <c r="AR46" i="39" s="1"/>
  <c r="Y46" i="39"/>
  <c r="AN46" i="39" s="1"/>
  <c r="O46" i="39"/>
  <c r="U46" i="39" s="1"/>
  <c r="AA46" i="39" s="1"/>
  <c r="L46" i="39"/>
  <c r="K46" i="39"/>
  <c r="AQ45" i="39"/>
  <c r="AK45" i="39"/>
  <c r="AR45" i="39" s="1"/>
  <c r="AF45" i="39"/>
  <c r="AF102" i="39" s="1"/>
  <c r="Y45" i="39"/>
  <c r="AN45" i="39" s="1"/>
  <c r="P45" i="39"/>
  <c r="P102" i="39" s="1"/>
  <c r="O45" i="39"/>
  <c r="U45" i="39" s="1"/>
  <c r="L45" i="39"/>
  <c r="K45" i="39"/>
  <c r="I45" i="39" s="1"/>
  <c r="AQ44" i="39"/>
  <c r="AK44" i="39"/>
  <c r="AR44" i="39" s="1"/>
  <c r="Y44" i="39"/>
  <c r="AN44" i="39" s="1"/>
  <c r="O44" i="39"/>
  <c r="U44" i="39" s="1"/>
  <c r="AM44" i="39" s="1"/>
  <c r="L44" i="39"/>
  <c r="K44" i="39"/>
  <c r="AQ43" i="39"/>
  <c r="AK43" i="39"/>
  <c r="AK47" i="39" s="1"/>
  <c r="Y43" i="39"/>
  <c r="AN43" i="39" s="1"/>
  <c r="O43" i="39"/>
  <c r="L43" i="39"/>
  <c r="K43" i="39"/>
  <c r="AJ42" i="39"/>
  <c r="AI42" i="39"/>
  <c r="AH42" i="39"/>
  <c r="AG42" i="39"/>
  <c r="AF42" i="39"/>
  <c r="AC42" i="39"/>
  <c r="X42" i="39"/>
  <c r="W42" i="39"/>
  <c r="V42" i="39"/>
  <c r="T42" i="39"/>
  <c r="S42" i="39"/>
  <c r="R42" i="39"/>
  <c r="Q42" i="39"/>
  <c r="P42" i="39"/>
  <c r="N42" i="39"/>
  <c r="J42" i="39"/>
  <c r="AR41" i="39"/>
  <c r="AQ41" i="39"/>
  <c r="AK41" i="39"/>
  <c r="AB41" i="39"/>
  <c r="Y41" i="39"/>
  <c r="AN41" i="39" s="1"/>
  <c r="O41" i="39"/>
  <c r="U41" i="39" s="1"/>
  <c r="L41" i="39"/>
  <c r="K41" i="39"/>
  <c r="AR40" i="39"/>
  <c r="AR42" i="39" s="1"/>
  <c r="AQ40" i="39"/>
  <c r="AQ42" i="39" s="1"/>
  <c r="AK40" i="39"/>
  <c r="AK42" i="39" s="1"/>
  <c r="Y40" i="39"/>
  <c r="O40" i="39"/>
  <c r="U40" i="39" s="1"/>
  <c r="L40" i="39"/>
  <c r="K40" i="39"/>
  <c r="I40" i="39" s="1"/>
  <c r="AJ39" i="39"/>
  <c r="AI39" i="39"/>
  <c r="AH39" i="39"/>
  <c r="AG39" i="39"/>
  <c r="AF39" i="39"/>
  <c r="AC39" i="39"/>
  <c r="X39" i="39"/>
  <c r="W39" i="39"/>
  <c r="V39" i="39"/>
  <c r="T39" i="39"/>
  <c r="S39" i="39"/>
  <c r="R39" i="39"/>
  <c r="Q39" i="39"/>
  <c r="P39" i="39"/>
  <c r="N39" i="39"/>
  <c r="J39" i="39"/>
  <c r="AQ38" i="39"/>
  <c r="AQ39" i="39" s="1"/>
  <c r="AN38" i="39"/>
  <c r="AN39" i="39" s="1"/>
  <c r="AK38" i="39"/>
  <c r="Y38" i="39"/>
  <c r="Y39" i="39" s="1"/>
  <c r="O38" i="39"/>
  <c r="O39" i="39" s="1"/>
  <c r="L38" i="39"/>
  <c r="L39" i="39" s="1"/>
  <c r="K38" i="39"/>
  <c r="AJ37" i="39"/>
  <c r="AI37" i="39"/>
  <c r="AH37" i="39"/>
  <c r="AG37" i="39"/>
  <c r="AF37" i="39"/>
  <c r="AC37" i="39"/>
  <c r="X37" i="39"/>
  <c r="W37" i="39"/>
  <c r="V37" i="39"/>
  <c r="T37" i="39"/>
  <c r="S37" i="39"/>
  <c r="R37" i="39"/>
  <c r="Q37" i="39"/>
  <c r="P37" i="39"/>
  <c r="N37" i="39"/>
  <c r="J37" i="39"/>
  <c r="AR36" i="39"/>
  <c r="AQ36" i="39"/>
  <c r="AQ37" i="39" s="1"/>
  <c r="AK36" i="39"/>
  <c r="AK37" i="39" s="1"/>
  <c r="Y36" i="39"/>
  <c r="O36" i="39"/>
  <c r="U36" i="39" s="1"/>
  <c r="AB36" i="39" s="1"/>
  <c r="AB37" i="39" s="1"/>
  <c r="L36" i="39"/>
  <c r="AP36" i="39" s="1"/>
  <c r="K36" i="39"/>
  <c r="AJ35" i="39"/>
  <c r="AI35" i="39"/>
  <c r="AH35" i="39"/>
  <c r="AG35" i="39"/>
  <c r="AF35" i="39"/>
  <c r="AC35" i="39"/>
  <c r="X35" i="39"/>
  <c r="W35" i="39"/>
  <c r="V35" i="39"/>
  <c r="T35" i="39"/>
  <c r="S35" i="39"/>
  <c r="R35" i="39"/>
  <c r="Q35" i="39"/>
  <c r="P35" i="39"/>
  <c r="N35" i="39"/>
  <c r="J35" i="39"/>
  <c r="AQ34" i="39"/>
  <c r="AK34" i="39"/>
  <c r="AR34" i="39" s="1"/>
  <c r="Y34" i="39"/>
  <c r="AN34" i="39" s="1"/>
  <c r="O34" i="39"/>
  <c r="U34" i="39" s="1"/>
  <c r="AB34" i="39" s="1"/>
  <c r="L34" i="39"/>
  <c r="K34" i="39"/>
  <c r="AQ33" i="39"/>
  <c r="AK33" i="39"/>
  <c r="AR33" i="39" s="1"/>
  <c r="Y33" i="39"/>
  <c r="U33" i="39"/>
  <c r="AM33" i="39" s="1"/>
  <c r="O33" i="39"/>
  <c r="L33" i="39"/>
  <c r="K33" i="39"/>
  <c r="AQ32" i="39"/>
  <c r="AK32" i="39"/>
  <c r="AR32" i="39" s="1"/>
  <c r="Y32" i="39"/>
  <c r="AN32" i="39" s="1"/>
  <c r="O32" i="39"/>
  <c r="U32" i="39" s="1"/>
  <c r="L32" i="39"/>
  <c r="I32" i="39" s="1"/>
  <c r="K32" i="39"/>
  <c r="AQ31" i="39"/>
  <c r="AK31" i="39"/>
  <c r="Y31" i="39"/>
  <c r="O31" i="39"/>
  <c r="O103" i="39" s="1"/>
  <c r="L31" i="39"/>
  <c r="K31" i="39"/>
  <c r="K35" i="39" s="1"/>
  <c r="AJ30" i="39"/>
  <c r="AI30" i="39"/>
  <c r="AH30" i="39"/>
  <c r="AG30" i="39"/>
  <c r="AF30" i="39"/>
  <c r="AC30" i="39"/>
  <c r="X30" i="39"/>
  <c r="W30" i="39"/>
  <c r="V30" i="39"/>
  <c r="T30" i="39"/>
  <c r="S30" i="39"/>
  <c r="R30" i="39"/>
  <c r="Q30" i="39"/>
  <c r="P30" i="39"/>
  <c r="N30" i="39"/>
  <c r="J30" i="39"/>
  <c r="AQ29" i="39"/>
  <c r="AK29" i="39"/>
  <c r="AR29" i="39" s="1"/>
  <c r="Y29" i="39"/>
  <c r="AN29" i="39" s="1"/>
  <c r="O29" i="39"/>
  <c r="U29" i="39" s="1"/>
  <c r="L29" i="39"/>
  <c r="K29" i="39"/>
  <c r="I29" i="39" s="1"/>
  <c r="AQ28" i="39"/>
  <c r="AN28" i="39"/>
  <c r="AK28" i="39"/>
  <c r="AR28" i="39" s="1"/>
  <c r="Y28" i="39"/>
  <c r="O28" i="39"/>
  <c r="U28" i="39" s="1"/>
  <c r="L28" i="39"/>
  <c r="K28" i="39"/>
  <c r="I28" i="39" s="1"/>
  <c r="AQ27" i="39"/>
  <c r="AK27" i="39"/>
  <c r="AR27" i="39" s="1"/>
  <c r="Y27" i="39"/>
  <c r="AN27" i="39" s="1"/>
  <c r="O27" i="39"/>
  <c r="U27" i="39" s="1"/>
  <c r="AB27" i="39" s="1"/>
  <c r="AP27" i="39" s="1"/>
  <c r="L27" i="39"/>
  <c r="K27" i="39"/>
  <c r="AQ26" i="39"/>
  <c r="AQ30" i="39" s="1"/>
  <c r="AK26" i="39"/>
  <c r="AR26" i="39" s="1"/>
  <c r="Y26" i="39"/>
  <c r="O26" i="39"/>
  <c r="U26" i="39" s="1"/>
  <c r="L26" i="39"/>
  <c r="K26" i="39"/>
  <c r="I26" i="39" s="1"/>
  <c r="AJ25" i="39"/>
  <c r="AI25" i="39"/>
  <c r="AH25" i="39"/>
  <c r="AG25" i="39"/>
  <c r="AF25" i="39"/>
  <c r="AC25" i="39"/>
  <c r="X25" i="39"/>
  <c r="W25" i="39"/>
  <c r="V25" i="39"/>
  <c r="T25" i="39"/>
  <c r="S25" i="39"/>
  <c r="R25" i="39"/>
  <c r="Q25" i="39"/>
  <c r="N25" i="39"/>
  <c r="J25" i="39"/>
  <c r="AQ24" i="39"/>
  <c r="AK24" i="39"/>
  <c r="AR24" i="39" s="1"/>
  <c r="Y24" i="39"/>
  <c r="AN24" i="39" s="1"/>
  <c r="O24" i="39"/>
  <c r="L24" i="39"/>
  <c r="K24" i="39"/>
  <c r="AQ23" i="39"/>
  <c r="AK23" i="39"/>
  <c r="AR23" i="39" s="1"/>
  <c r="AF23" i="39"/>
  <c r="AF104" i="39" s="1"/>
  <c r="Y23" i="39"/>
  <c r="AN23" i="39" s="1"/>
  <c r="P23" i="39"/>
  <c r="O23" i="39"/>
  <c r="U23" i="39" s="1"/>
  <c r="AB23" i="39" s="1"/>
  <c r="L23" i="39"/>
  <c r="K23" i="39"/>
  <c r="AQ22" i="39"/>
  <c r="AK22" i="39"/>
  <c r="Y22" i="39"/>
  <c r="AN22" i="39" s="1"/>
  <c r="O22" i="39"/>
  <c r="U22" i="39" s="1"/>
  <c r="L22" i="39"/>
  <c r="K22" i="39"/>
  <c r="I22" i="39"/>
  <c r="AJ21" i="39"/>
  <c r="AI21" i="39"/>
  <c r="AH21" i="39"/>
  <c r="AG21" i="39"/>
  <c r="AF21" i="39"/>
  <c r="AC21" i="39"/>
  <c r="X21" i="39"/>
  <c r="W21" i="39"/>
  <c r="V21" i="39"/>
  <c r="T21" i="39"/>
  <c r="S21" i="39"/>
  <c r="R21" i="39"/>
  <c r="Q21" i="39"/>
  <c r="P21" i="39"/>
  <c r="N21" i="39"/>
  <c r="J21" i="39"/>
  <c r="AQ20" i="39"/>
  <c r="AK20" i="39"/>
  <c r="Y20" i="39"/>
  <c r="O20" i="39"/>
  <c r="U20" i="39" s="1"/>
  <c r="L20" i="39"/>
  <c r="K20" i="39"/>
  <c r="I20" i="39" s="1"/>
  <c r="AQ19" i="39"/>
  <c r="AQ21" i="39" s="1"/>
  <c r="AK19" i="39"/>
  <c r="AR19" i="39" s="1"/>
  <c r="Y19" i="39"/>
  <c r="AN19" i="39" s="1"/>
  <c r="O19" i="39"/>
  <c r="U19" i="39" s="1"/>
  <c r="L19" i="39"/>
  <c r="K19" i="39"/>
  <c r="I19" i="39" s="1"/>
  <c r="AQ18" i="39"/>
  <c r="AN18" i="39"/>
  <c r="AK18" i="39"/>
  <c r="Y18" i="39"/>
  <c r="O18" i="39"/>
  <c r="U18" i="39" s="1"/>
  <c r="L18" i="39"/>
  <c r="K18" i="39"/>
  <c r="I18" i="39" s="1"/>
  <c r="AJ17" i="39"/>
  <c r="AI17" i="39"/>
  <c r="AH17" i="39"/>
  <c r="AG17" i="39"/>
  <c r="AF17" i="39"/>
  <c r="AC17" i="39"/>
  <c r="X17" i="39"/>
  <c r="W17" i="39"/>
  <c r="V17" i="39"/>
  <c r="T17" i="39"/>
  <c r="S17" i="39"/>
  <c r="R17" i="39"/>
  <c r="Q17" i="39"/>
  <c r="N17" i="39"/>
  <c r="J17" i="39"/>
  <c r="AQ16" i="39"/>
  <c r="AK16" i="39"/>
  <c r="AR16" i="39" s="1"/>
  <c r="AF101" i="39"/>
  <c r="Y16" i="39"/>
  <c r="AN16" i="39" s="1"/>
  <c r="O16" i="39"/>
  <c r="U16" i="39" s="1"/>
  <c r="L16" i="39"/>
  <c r="K16" i="39"/>
  <c r="AQ15" i="39"/>
  <c r="AN15" i="39"/>
  <c r="AK15" i="39"/>
  <c r="AR15" i="39" s="1"/>
  <c r="Y15" i="39"/>
  <c r="O15" i="39"/>
  <c r="U15" i="39" s="1"/>
  <c r="L15" i="39"/>
  <c r="K15" i="39"/>
  <c r="I15" i="39" s="1"/>
  <c r="AQ14" i="39"/>
  <c r="AK14" i="39"/>
  <c r="Y14" i="39"/>
  <c r="O14" i="39"/>
  <c r="O17" i="39" s="1"/>
  <c r="L14" i="39"/>
  <c r="L17" i="39" s="1"/>
  <c r="K14" i="39"/>
  <c r="AJ13" i="39"/>
  <c r="AI13" i="39"/>
  <c r="AH13" i="39"/>
  <c r="AG13" i="39"/>
  <c r="AF13" i="39"/>
  <c r="AE13" i="39"/>
  <c r="AE97" i="39" s="1"/>
  <c r="X19" i="47" s="1"/>
  <c r="AC13" i="39"/>
  <c r="X13" i="39"/>
  <c r="W13" i="39"/>
  <c r="V13" i="39"/>
  <c r="T13" i="39"/>
  <c r="S13" i="39"/>
  <c r="R13" i="39"/>
  <c r="Q13" i="39"/>
  <c r="P13" i="39"/>
  <c r="N13" i="39"/>
  <c r="J13" i="39"/>
  <c r="AQ12" i="39"/>
  <c r="AQ110" i="39" s="1"/>
  <c r="AK12" i="39"/>
  <c r="AK110" i="39" s="1"/>
  <c r="Y12" i="39"/>
  <c r="Y110" i="39" s="1"/>
  <c r="O12" i="39"/>
  <c r="O13" i="39" s="1"/>
  <c r="L12" i="39"/>
  <c r="K12" i="39"/>
  <c r="K110" i="39" s="1"/>
  <c r="I41" i="42" l="1"/>
  <c r="AK69" i="42"/>
  <c r="O69" i="42"/>
  <c r="K72" i="42"/>
  <c r="AQ96" i="42"/>
  <c r="L99" i="42"/>
  <c r="AI155" i="42"/>
  <c r="AQ31" i="42"/>
  <c r="I40" i="42"/>
  <c r="U41" i="42"/>
  <c r="AR28" i="42"/>
  <c r="O52" i="42"/>
  <c r="Y72" i="42"/>
  <c r="O80" i="42"/>
  <c r="AK84" i="42"/>
  <c r="AQ99" i="42"/>
  <c r="O126" i="42"/>
  <c r="I54" i="42"/>
  <c r="I88" i="42"/>
  <c r="K92" i="42"/>
  <c r="I101" i="42"/>
  <c r="AQ129" i="42"/>
  <c r="AQ158" i="42"/>
  <c r="Y69" i="42"/>
  <c r="I128" i="42"/>
  <c r="I139" i="42"/>
  <c r="AA73" i="42"/>
  <c r="AM73" i="42"/>
  <c r="AQ22" i="42"/>
  <c r="K31" i="42"/>
  <c r="K36" i="42"/>
  <c r="Z51" i="42"/>
  <c r="AA70" i="42"/>
  <c r="AO70" i="42" s="1"/>
  <c r="Z83" i="42"/>
  <c r="I85" i="42"/>
  <c r="AK99" i="42"/>
  <c r="K109" i="42"/>
  <c r="U121" i="42"/>
  <c r="AB121" i="42" s="1"/>
  <c r="AB122" i="42" s="1"/>
  <c r="Z135" i="42"/>
  <c r="I140" i="42"/>
  <c r="O146" i="42"/>
  <c r="K158" i="42"/>
  <c r="L36" i="42"/>
  <c r="K62" i="42"/>
  <c r="K69" i="42"/>
  <c r="AM75" i="42"/>
  <c r="K106" i="42"/>
  <c r="W155" i="42"/>
  <c r="AN25" i="42"/>
  <c r="L158" i="42"/>
  <c r="L25" i="42"/>
  <c r="Y25" i="42"/>
  <c r="O31" i="42"/>
  <c r="O36" i="42"/>
  <c r="AQ103" i="42"/>
  <c r="O109" i="42"/>
  <c r="K129" i="42"/>
  <c r="O142" i="42"/>
  <c r="K22" i="42"/>
  <c r="L28" i="42"/>
  <c r="Y36" i="42"/>
  <c r="K48" i="42"/>
  <c r="I51" i="42"/>
  <c r="O62" i="42"/>
  <c r="I60" i="42"/>
  <c r="AA61" i="42"/>
  <c r="AO61" i="42" s="1"/>
  <c r="I78" i="42"/>
  <c r="I79" i="42"/>
  <c r="L84" i="42"/>
  <c r="AM83" i="42"/>
  <c r="L129" i="42"/>
  <c r="AK138" i="42"/>
  <c r="Q155" i="42"/>
  <c r="AK31" i="42"/>
  <c r="AN32" i="42"/>
  <c r="AN33" i="42" s="1"/>
  <c r="AK36" i="42"/>
  <c r="I53" i="42"/>
  <c r="AO79" i="42"/>
  <c r="AQ106" i="42"/>
  <c r="I124" i="42"/>
  <c r="AA130" i="42"/>
  <c r="AO130" i="42" s="1"/>
  <c r="I136" i="42"/>
  <c r="L72" i="42"/>
  <c r="O22" i="42"/>
  <c r="Y28" i="42"/>
  <c r="AQ36" i="42"/>
  <c r="O43" i="42"/>
  <c r="O48" i="42"/>
  <c r="Z101" i="42"/>
  <c r="I24" i="41"/>
  <c r="K54" i="41"/>
  <c r="Z23" i="41"/>
  <c r="L67" i="41"/>
  <c r="O20" i="41"/>
  <c r="AQ28" i="41"/>
  <c r="L43" i="41"/>
  <c r="AN54" i="41"/>
  <c r="K77" i="41"/>
  <c r="L54" i="41"/>
  <c r="L64" i="41"/>
  <c r="AN38" i="41"/>
  <c r="AO18" i="41"/>
  <c r="AQ38" i="41"/>
  <c r="AQ49" i="41"/>
  <c r="L77" i="41"/>
  <c r="Y77" i="41"/>
  <c r="I16" i="41"/>
  <c r="AP63" i="41"/>
  <c r="Y59" i="41"/>
  <c r="O120" i="41"/>
  <c r="AQ98" i="41"/>
  <c r="Y15" i="41"/>
  <c r="I35" i="41"/>
  <c r="I38" i="41" s="1"/>
  <c r="AR50" i="41"/>
  <c r="AR51" i="41" s="1"/>
  <c r="AK70" i="41"/>
  <c r="I31" i="41"/>
  <c r="O83" i="41"/>
  <c r="I23" i="41"/>
  <c r="I34" i="41"/>
  <c r="AR77" i="41"/>
  <c r="AJ111" i="41"/>
  <c r="AP31" i="40"/>
  <c r="AA95" i="40"/>
  <c r="AO95" i="40" s="1"/>
  <c r="L20" i="40"/>
  <c r="AA36" i="40"/>
  <c r="L85" i="40"/>
  <c r="AB112" i="40"/>
  <c r="AP111" i="40"/>
  <c r="AN20" i="40"/>
  <c r="AA60" i="40"/>
  <c r="L74" i="40"/>
  <c r="AN75" i="40"/>
  <c r="U88" i="40"/>
  <c r="AB88" i="40" s="1"/>
  <c r="Y142" i="40"/>
  <c r="I70" i="40"/>
  <c r="I96" i="40"/>
  <c r="I19" i="40"/>
  <c r="AA27" i="40"/>
  <c r="I83" i="40"/>
  <c r="AA113" i="40"/>
  <c r="AA53" i="40"/>
  <c r="AB53" i="40"/>
  <c r="Z53" i="40"/>
  <c r="AK14" i="40"/>
  <c r="AQ143" i="40"/>
  <c r="Y38" i="40"/>
  <c r="I69" i="40"/>
  <c r="AB80" i="40"/>
  <c r="AP80" i="40" s="1"/>
  <c r="O101" i="40"/>
  <c r="L17" i="40"/>
  <c r="AP30" i="40"/>
  <c r="AK114" i="40"/>
  <c r="L129" i="40"/>
  <c r="K66" i="40"/>
  <c r="O20" i="40"/>
  <c r="L143" i="40"/>
  <c r="O22" i="40"/>
  <c r="I53" i="40"/>
  <c r="Y61" i="40"/>
  <c r="I100" i="40"/>
  <c r="AQ114" i="40"/>
  <c r="I113" i="40"/>
  <c r="R133" i="40"/>
  <c r="AF133" i="40"/>
  <c r="X133" i="40"/>
  <c r="T133" i="40"/>
  <c r="AH133" i="40"/>
  <c r="Y71" i="40"/>
  <c r="AQ78" i="40"/>
  <c r="AQ129" i="40"/>
  <c r="I16" i="40"/>
  <c r="AP32" i="40"/>
  <c r="AQ66" i="40"/>
  <c r="Z80" i="40"/>
  <c r="AM102" i="40"/>
  <c r="I110" i="40"/>
  <c r="AR127" i="40"/>
  <c r="AR129" i="40" s="1"/>
  <c r="AA47" i="42"/>
  <c r="AO47" i="42" s="1"/>
  <c r="AB47" i="42"/>
  <c r="AA68" i="42"/>
  <c r="Z68" i="42"/>
  <c r="AM68" i="42"/>
  <c r="AM141" i="42"/>
  <c r="Z141" i="42"/>
  <c r="AB150" i="42"/>
  <c r="AM150" i="42"/>
  <c r="AA66" i="42"/>
  <c r="Z66" i="42"/>
  <c r="AM66" i="42"/>
  <c r="AA91" i="42"/>
  <c r="AB91" i="42"/>
  <c r="AP91" i="42" s="1"/>
  <c r="U69" i="42"/>
  <c r="AK163" i="42"/>
  <c r="AK22" i="42"/>
  <c r="AQ28" i="42"/>
  <c r="AN34" i="42"/>
  <c r="AN36" i="42" s="1"/>
  <c r="U37" i="42"/>
  <c r="U165" i="42" s="1"/>
  <c r="Y38" i="42"/>
  <c r="K43" i="42"/>
  <c r="U49" i="42"/>
  <c r="AA49" i="42" s="1"/>
  <c r="Y52" i="42"/>
  <c r="O72" i="42"/>
  <c r="K77" i="42"/>
  <c r="I75" i="42"/>
  <c r="AK80" i="42"/>
  <c r="AQ84" i="42"/>
  <c r="AQ89" i="42"/>
  <c r="I87" i="42"/>
  <c r="I89" i="42" s="1"/>
  <c r="AK92" i="42"/>
  <c r="I143" i="42"/>
  <c r="I144" i="42"/>
  <c r="S155" i="42"/>
  <c r="AE155" i="42"/>
  <c r="AC155" i="42"/>
  <c r="K25" i="42"/>
  <c r="L31" i="42"/>
  <c r="U44" i="42"/>
  <c r="AA44" i="42" s="1"/>
  <c r="AO44" i="42" s="1"/>
  <c r="I61" i="42"/>
  <c r="I66" i="42"/>
  <c r="I68" i="42"/>
  <c r="I82" i="42"/>
  <c r="AQ109" i="42"/>
  <c r="I112" i="42"/>
  <c r="I113" i="42"/>
  <c r="I115" i="42"/>
  <c r="I116" i="42" s="1"/>
  <c r="AQ120" i="42"/>
  <c r="I125" i="42"/>
  <c r="K126" i="42"/>
  <c r="AA135" i="42"/>
  <c r="U143" i="42"/>
  <c r="AB143" i="42" s="1"/>
  <c r="U147" i="42"/>
  <c r="U151" i="42" s="1"/>
  <c r="AA12" i="42"/>
  <c r="AO12" i="42" s="1"/>
  <c r="AK158" i="42"/>
  <c r="K28" i="42"/>
  <c r="AN37" i="42"/>
  <c r="AN165" i="42" s="1"/>
  <c r="AM51" i="42"/>
  <c r="O77" i="42"/>
  <c r="K84" i="42"/>
  <c r="Z87" i="42"/>
  <c r="K103" i="42"/>
  <c r="AK109" i="42"/>
  <c r="O120" i="42"/>
  <c r="AJ155" i="42"/>
  <c r="Y19" i="42"/>
  <c r="O25" i="42"/>
  <c r="U29" i="42"/>
  <c r="AB29" i="42" s="1"/>
  <c r="AB31" i="42" s="1"/>
  <c r="K56" i="42"/>
  <c r="L69" i="42"/>
  <c r="AP98" i="42"/>
  <c r="I127" i="42"/>
  <c r="I129" i="42" s="1"/>
  <c r="AM134" i="42"/>
  <c r="AN135" i="42"/>
  <c r="AK142" i="42"/>
  <c r="X155" i="42"/>
  <c r="AA150" i="42"/>
  <c r="AK156" i="42"/>
  <c r="L22" i="42"/>
  <c r="O28" i="42"/>
  <c r="U34" i="42"/>
  <c r="AB34" i="42" s="1"/>
  <c r="AB36" i="42" s="1"/>
  <c r="AQ43" i="42"/>
  <c r="AQ48" i="42"/>
  <c r="K52" i="42"/>
  <c r="I59" i="42"/>
  <c r="AQ72" i="42"/>
  <c r="Z73" i="42"/>
  <c r="Z75" i="42"/>
  <c r="U84" i="42"/>
  <c r="Z82" i="42"/>
  <c r="I91" i="42"/>
  <c r="I104" i="42"/>
  <c r="AP105" i="42"/>
  <c r="Y116" i="42"/>
  <c r="K120" i="42"/>
  <c r="K133" i="42"/>
  <c r="AQ133" i="42"/>
  <c r="AQ142" i="42"/>
  <c r="AK151" i="42"/>
  <c r="K114" i="42"/>
  <c r="I135" i="42"/>
  <c r="I137" i="42"/>
  <c r="Z105" i="42"/>
  <c r="O138" i="42"/>
  <c r="R155" i="42"/>
  <c r="AB132" i="42"/>
  <c r="AA132" i="42"/>
  <c r="AM132" i="42"/>
  <c r="AA71" i="42"/>
  <c r="AO71" i="42" s="1"/>
  <c r="AB71" i="42"/>
  <c r="AP71" i="42" s="1"/>
  <c r="Z71" i="42"/>
  <c r="AM71" i="42"/>
  <c r="AN158" i="42"/>
  <c r="AA40" i="42"/>
  <c r="AO40" i="42" s="1"/>
  <c r="Z40" i="42"/>
  <c r="AB144" i="42"/>
  <c r="AM144" i="42"/>
  <c r="AA112" i="42"/>
  <c r="AO112" i="42" s="1"/>
  <c r="Z112" i="42"/>
  <c r="AM112" i="42"/>
  <c r="AB112" i="42"/>
  <c r="AM119" i="42"/>
  <c r="AB119" i="42"/>
  <c r="AA45" i="42"/>
  <c r="AO45" i="42" s="1"/>
  <c r="AB45" i="42"/>
  <c r="AP45" i="42" s="1"/>
  <c r="AM45" i="42"/>
  <c r="AA54" i="42"/>
  <c r="AO54" i="42" s="1"/>
  <c r="AM54" i="42"/>
  <c r="AB54" i="42"/>
  <c r="AP54" i="42" s="1"/>
  <c r="Z54" i="42"/>
  <c r="AM139" i="42"/>
  <c r="AB139" i="42"/>
  <c r="Z139" i="42"/>
  <c r="AN31" i="42"/>
  <c r="AA60" i="42"/>
  <c r="AO60" i="42" s="1"/>
  <c r="Z60" i="42"/>
  <c r="AM60" i="42"/>
  <c r="AB60" i="42"/>
  <c r="AA118" i="42"/>
  <c r="AO118" i="42" s="1"/>
  <c r="Z118" i="42"/>
  <c r="AB118" i="42"/>
  <c r="AP118" i="42" s="1"/>
  <c r="AA58" i="42"/>
  <c r="AO58" i="42" s="1"/>
  <c r="AM58" i="42"/>
  <c r="AB58" i="42"/>
  <c r="Z58" i="42"/>
  <c r="AA46" i="42"/>
  <c r="AO46" i="42" s="1"/>
  <c r="AB46" i="42"/>
  <c r="AP46" i="42" s="1"/>
  <c r="AM46" i="42"/>
  <c r="Z149" i="42"/>
  <c r="AM149" i="42"/>
  <c r="AA149" i="42"/>
  <c r="AO149" i="42" s="1"/>
  <c r="AB149" i="42"/>
  <c r="AP149" i="42" s="1"/>
  <c r="AN22" i="42"/>
  <c r="U146" i="42"/>
  <c r="U20" i="42"/>
  <c r="AB20" i="42" s="1"/>
  <c r="AB22" i="42" s="1"/>
  <c r="Y22" i="42"/>
  <c r="I44" i="42"/>
  <c r="AB51" i="42"/>
  <c r="AD51" i="42" s="1"/>
  <c r="U63" i="42"/>
  <c r="AA63" i="42" s="1"/>
  <c r="K64" i="42"/>
  <c r="AR65" i="42"/>
  <c r="AR69" i="42" s="1"/>
  <c r="AB66" i="42"/>
  <c r="AD66" i="42" s="1"/>
  <c r="AL66" i="42" s="1"/>
  <c r="AB68" i="42"/>
  <c r="AP68" i="42" s="1"/>
  <c r="AB73" i="42"/>
  <c r="AB75" i="42"/>
  <c r="AP75" i="42" s="1"/>
  <c r="Y89" i="42"/>
  <c r="K89" i="42"/>
  <c r="L96" i="42"/>
  <c r="AR97" i="42"/>
  <c r="AR99" i="42" s="1"/>
  <c r="I102" i="42"/>
  <c r="AN106" i="42"/>
  <c r="I107" i="42"/>
  <c r="U124" i="42"/>
  <c r="Z124" i="42" s="1"/>
  <c r="I131" i="42"/>
  <c r="I132" i="42"/>
  <c r="AQ138" i="42"/>
  <c r="AA141" i="42"/>
  <c r="AH155" i="42"/>
  <c r="Y92" i="42"/>
  <c r="AK116" i="42"/>
  <c r="AP150" i="42"/>
  <c r="AQ156" i="42"/>
  <c r="AQ163" i="42"/>
  <c r="AP24" i="42"/>
  <c r="AN26" i="42"/>
  <c r="AN28" i="42" s="1"/>
  <c r="Y31" i="42"/>
  <c r="AF155" i="42"/>
  <c r="AM47" i="42"/>
  <c r="Y48" i="42"/>
  <c r="AK48" i="42"/>
  <c r="L56" i="42"/>
  <c r="AQ56" i="42"/>
  <c r="AA55" i="42"/>
  <c r="AO55" i="42" s="1"/>
  <c r="L62" i="42"/>
  <c r="AQ62" i="42"/>
  <c r="AA59" i="42"/>
  <c r="AO59" i="42" s="1"/>
  <c r="Z61" i="42"/>
  <c r="AA65" i="42"/>
  <c r="AA67" i="42"/>
  <c r="AO67" i="42" s="1"/>
  <c r="Z70" i="42"/>
  <c r="I73" i="42"/>
  <c r="AK77" i="42"/>
  <c r="AA74" i="42"/>
  <c r="AA76" i="42"/>
  <c r="AO76" i="42" s="1"/>
  <c r="L80" i="42"/>
  <c r="AQ80" i="42"/>
  <c r="Z79" i="42"/>
  <c r="Y84" i="42"/>
  <c r="AK89" i="42"/>
  <c r="Z86" i="42"/>
  <c r="AQ92" i="42"/>
  <c r="AB123" i="42"/>
  <c r="AR134" i="42"/>
  <c r="AR138" i="42" s="1"/>
  <c r="AB141" i="42"/>
  <c r="Z143" i="42"/>
  <c r="AB145" i="42"/>
  <c r="AQ25" i="42"/>
  <c r="AP60" i="42"/>
  <c r="AP144" i="42"/>
  <c r="L156" i="42"/>
  <c r="AP13" i="42"/>
  <c r="AP16" i="42"/>
  <c r="U23" i="42"/>
  <c r="AB23" i="42" s="1"/>
  <c r="AB25" i="42" s="1"/>
  <c r="AN48" i="42"/>
  <c r="AP47" i="42"/>
  <c r="U53" i="42"/>
  <c r="U158" i="42" s="1"/>
  <c r="Z55" i="42"/>
  <c r="U57" i="42"/>
  <c r="Z59" i="42"/>
  <c r="O64" i="42"/>
  <c r="Z65" i="42"/>
  <c r="AP66" i="42"/>
  <c r="Z67" i="42"/>
  <c r="I70" i="42"/>
  <c r="I72" i="42" s="1"/>
  <c r="AK72" i="42"/>
  <c r="L77" i="42"/>
  <c r="AQ77" i="42"/>
  <c r="Z74" i="42"/>
  <c r="Z76" i="42"/>
  <c r="U77" i="42"/>
  <c r="U78" i="42"/>
  <c r="AR85" i="42"/>
  <c r="AR89" i="42" s="1"/>
  <c r="O89" i="42"/>
  <c r="Y96" i="42"/>
  <c r="U115" i="42"/>
  <c r="Y122" i="42"/>
  <c r="AK133" i="42"/>
  <c r="AO135" i="42"/>
  <c r="U140" i="42"/>
  <c r="AP141" i="42"/>
  <c r="AK146" i="42"/>
  <c r="L151" i="42"/>
  <c r="N155" i="42"/>
  <c r="J155" i="42"/>
  <c r="K156" i="42"/>
  <c r="AB70" i="42"/>
  <c r="AB79" i="42"/>
  <c r="AP79" i="42" s="1"/>
  <c r="O156" i="42"/>
  <c r="O158" i="42"/>
  <c r="O163" i="42"/>
  <c r="U32" i="42"/>
  <c r="AB32" i="42" s="1"/>
  <c r="AB33" i="42" s="1"/>
  <c r="O157" i="42"/>
  <c r="AB44" i="42"/>
  <c r="O159" i="42"/>
  <c r="AB55" i="42"/>
  <c r="AP55" i="42" s="1"/>
  <c r="AB59" i="42"/>
  <c r="AP59" i="42" s="1"/>
  <c r="AM61" i="42"/>
  <c r="Y62" i="42"/>
  <c r="I63" i="42"/>
  <c r="I64" i="42" s="1"/>
  <c r="AB65" i="42"/>
  <c r="AB67" i="42"/>
  <c r="AP67" i="42" s="1"/>
  <c r="AM70" i="42"/>
  <c r="AR73" i="42"/>
  <c r="AR77" i="42" s="1"/>
  <c r="AB74" i="42"/>
  <c r="AP74" i="42" s="1"/>
  <c r="AB76" i="42"/>
  <c r="AP76" i="42" s="1"/>
  <c r="Y80" i="42"/>
  <c r="AM79" i="42"/>
  <c r="AR81" i="42"/>
  <c r="AR84" i="42" s="1"/>
  <c r="O84" i="42"/>
  <c r="AK96" i="42"/>
  <c r="AB97" i="42"/>
  <c r="AB99" i="42" s="1"/>
  <c r="AN103" i="42"/>
  <c r="L106" i="42"/>
  <c r="AQ126" i="42"/>
  <c r="U133" i="42"/>
  <c r="AA134" i="42"/>
  <c r="AO134" i="42" s="1"/>
  <c r="AM143" i="42"/>
  <c r="I145" i="42"/>
  <c r="AB148" i="42"/>
  <c r="AP148" i="42" s="1"/>
  <c r="Y103" i="42"/>
  <c r="U163" i="42"/>
  <c r="AR48" i="42"/>
  <c r="AO51" i="42"/>
  <c r="I55" i="42"/>
  <c r="I65" i="42"/>
  <c r="AO66" i="42"/>
  <c r="I67" i="42"/>
  <c r="AO68" i="42"/>
  <c r="U72" i="42"/>
  <c r="AO73" i="42"/>
  <c r="I74" i="42"/>
  <c r="AO75" i="42"/>
  <c r="I76" i="42"/>
  <c r="I81" i="42"/>
  <c r="I84" i="42" s="1"/>
  <c r="AP145" i="42"/>
  <c r="AQ151" i="42"/>
  <c r="Y43" i="42"/>
  <c r="K163" i="42"/>
  <c r="K157" i="42"/>
  <c r="AB61" i="42"/>
  <c r="AP61" i="42" s="1"/>
  <c r="AR78" i="42"/>
  <c r="AR80" i="42" s="1"/>
  <c r="Y156" i="42"/>
  <c r="Y158" i="42"/>
  <c r="Y163" i="42"/>
  <c r="AP21" i="42"/>
  <c r="U26" i="42"/>
  <c r="AB26" i="42" s="1"/>
  <c r="AB28" i="42" s="1"/>
  <c r="AM55" i="42"/>
  <c r="Y56" i="42"/>
  <c r="AM59" i="42"/>
  <c r="AM65" i="42"/>
  <c r="AM67" i="42"/>
  <c r="AR70" i="42"/>
  <c r="AR72" i="42" s="1"/>
  <c r="Y77" i="42"/>
  <c r="AM74" i="42"/>
  <c r="AM76" i="42"/>
  <c r="L89" i="42"/>
  <c r="I94" i="42"/>
  <c r="O133" i="42"/>
  <c r="AR139" i="42"/>
  <c r="AR142" i="42" s="1"/>
  <c r="AQ146" i="42"/>
  <c r="AR147" i="42"/>
  <c r="AR151" i="42" s="1"/>
  <c r="AA39" i="41"/>
  <c r="I62" i="41"/>
  <c r="I89" i="41"/>
  <c r="O102" i="41"/>
  <c r="R111" i="41"/>
  <c r="Q111" i="41"/>
  <c r="AE111" i="41"/>
  <c r="X111" i="41"/>
  <c r="AR38" i="41"/>
  <c r="K49" i="41"/>
  <c r="AK67" i="41"/>
  <c r="I80" i="41"/>
  <c r="I105" i="41"/>
  <c r="I106" i="41"/>
  <c r="AN13" i="41"/>
  <c r="AN15" i="41" s="1"/>
  <c r="L119" i="41"/>
  <c r="L49" i="41"/>
  <c r="K64" i="41"/>
  <c r="L74" i="41"/>
  <c r="V111" i="41"/>
  <c r="O110" i="41" s="1"/>
  <c r="AI111" i="41"/>
  <c r="T111" i="41"/>
  <c r="W111" i="41"/>
  <c r="Y110" i="41" s="1"/>
  <c r="N111" i="41"/>
  <c r="AC111" i="41"/>
  <c r="S111" i="41"/>
  <c r="O49" i="41"/>
  <c r="Y26" i="41"/>
  <c r="L120" i="41"/>
  <c r="I32" i="41"/>
  <c r="Y38" i="41"/>
  <c r="Z41" i="41"/>
  <c r="U44" i="41"/>
  <c r="AB44" i="41" s="1"/>
  <c r="AB49" i="41" s="1"/>
  <c r="AQ77" i="41"/>
  <c r="K88" i="41"/>
  <c r="AK95" i="41"/>
  <c r="O98" i="41"/>
  <c r="I103" i="41"/>
  <c r="AN49" i="41"/>
  <c r="AK74" i="41"/>
  <c r="I78" i="41"/>
  <c r="L88" i="41"/>
  <c r="I12" i="41"/>
  <c r="AK49" i="41"/>
  <c r="AA56" i="41"/>
  <c r="AO56" i="41" s="1"/>
  <c r="J111" i="41"/>
  <c r="AM13" i="41"/>
  <c r="Z13" i="41"/>
  <c r="AB13" i="41"/>
  <c r="AA13" i="41"/>
  <c r="AO13" i="41" s="1"/>
  <c r="AA24" i="41"/>
  <c r="Z24" i="41"/>
  <c r="AB24" i="41"/>
  <c r="AP24" i="41" s="1"/>
  <c r="AM24" i="41"/>
  <c r="AB34" i="41"/>
  <c r="AA34" i="41"/>
  <c r="Z34" i="41"/>
  <c r="AM34" i="41"/>
  <c r="AB100" i="41"/>
  <c r="AA100" i="41"/>
  <c r="AM21" i="41"/>
  <c r="AB21" i="41"/>
  <c r="AP21" i="41" s="1"/>
  <c r="AA21" i="41"/>
  <c r="AO21" i="41" s="1"/>
  <c r="Z21" i="41"/>
  <c r="AA106" i="41"/>
  <c r="AO106" i="41" s="1"/>
  <c r="AB106" i="41"/>
  <c r="AP106" i="41" s="1"/>
  <c r="AA104" i="41"/>
  <c r="AO104" i="41" s="1"/>
  <c r="AB104" i="41"/>
  <c r="AP104" i="41" s="1"/>
  <c r="AB29" i="41"/>
  <c r="AP29" i="41" s="1"/>
  <c r="Z29" i="41"/>
  <c r="AA29" i="41"/>
  <c r="AO29" i="41" s="1"/>
  <c r="AM29" i="41"/>
  <c r="AB36" i="41"/>
  <c r="AP36" i="41" s="1"/>
  <c r="AA36" i="41"/>
  <c r="AO36" i="41" s="1"/>
  <c r="Z36" i="41"/>
  <c r="AM36" i="41"/>
  <c r="AN67" i="41"/>
  <c r="AQ112" i="41"/>
  <c r="K113" i="41"/>
  <c r="I19" i="41"/>
  <c r="AO24" i="41"/>
  <c r="P111" i="41"/>
  <c r="AP42" i="41"/>
  <c r="AP45" i="41"/>
  <c r="AP46" i="41"/>
  <c r="AP48" i="41"/>
  <c r="AK54" i="41"/>
  <c r="AK59" i="41"/>
  <c r="AR65" i="41"/>
  <c r="AR67" i="41" s="1"/>
  <c r="Y83" i="41"/>
  <c r="AM89" i="41"/>
  <c r="U96" i="41"/>
  <c r="AM96" i="41" s="1"/>
  <c r="U101" i="41"/>
  <c r="AB101" i="41" s="1"/>
  <c r="AP101" i="41" s="1"/>
  <c r="Y33" i="41"/>
  <c r="R108" i="41"/>
  <c r="K21" i="47" s="1"/>
  <c r="AE108" i="41"/>
  <c r="X21" i="47" s="1"/>
  <c r="L113" i="41"/>
  <c r="K119" i="41"/>
  <c r="O26" i="41"/>
  <c r="K33" i="41"/>
  <c r="L38" i="41"/>
  <c r="Z35" i="41"/>
  <c r="Z37" i="41"/>
  <c r="O38" i="41"/>
  <c r="AA75" i="41"/>
  <c r="AO75" i="41" s="1"/>
  <c r="Y88" i="41"/>
  <c r="AN98" i="41"/>
  <c r="Y98" i="41"/>
  <c r="AA101" i="41"/>
  <c r="AO101" i="41" s="1"/>
  <c r="O107" i="41"/>
  <c r="AA35" i="41"/>
  <c r="AO35" i="41" s="1"/>
  <c r="AR54" i="41"/>
  <c r="AR89" i="41"/>
  <c r="AR95" i="41" s="1"/>
  <c r="AQ95" i="41"/>
  <c r="K107" i="41"/>
  <c r="Y20" i="41"/>
  <c r="AN33" i="41"/>
  <c r="AP13" i="41"/>
  <c r="AG108" i="41"/>
  <c r="Z21" i="47" s="1"/>
  <c r="O51" i="41"/>
  <c r="AR68" i="41"/>
  <c r="AR70" i="41" s="1"/>
  <c r="AQ74" i="41"/>
  <c r="AR88" i="41"/>
  <c r="M111" i="41"/>
  <c r="AA37" i="41"/>
  <c r="AO37" i="41" s="1"/>
  <c r="O112" i="41"/>
  <c r="AH108" i="41"/>
  <c r="AA21" i="47" s="1"/>
  <c r="K115" i="41"/>
  <c r="AM35" i="41"/>
  <c r="AM37" i="41"/>
  <c r="AA63" i="41"/>
  <c r="AO63" i="41" s="1"/>
  <c r="L70" i="41"/>
  <c r="AR71" i="41"/>
  <c r="AR74" i="41" s="1"/>
  <c r="I76" i="41"/>
  <c r="AN82" i="41"/>
  <c r="AN121" i="41" s="1"/>
  <c r="AA84" i="41"/>
  <c r="AO84" i="41" s="1"/>
  <c r="O95" i="41"/>
  <c r="I92" i="41"/>
  <c r="AP100" i="41"/>
  <c r="AK107" i="41"/>
  <c r="Y112" i="41"/>
  <c r="AM18" i="41"/>
  <c r="AN21" i="41"/>
  <c r="AN26" i="41" s="1"/>
  <c r="I27" i="41"/>
  <c r="I28" i="41" s="1"/>
  <c r="Y102" i="41"/>
  <c r="S108" i="41"/>
  <c r="L21" i="47" s="1"/>
  <c r="AK15" i="41"/>
  <c r="X108" i="41"/>
  <c r="Q21" i="47" s="1"/>
  <c r="I18" i="41"/>
  <c r="K120" i="41"/>
  <c r="O115" i="41"/>
  <c r="O43" i="41"/>
  <c r="AR44" i="41"/>
  <c r="AR49" i="41" s="1"/>
  <c r="O59" i="41"/>
  <c r="K74" i="41"/>
  <c r="L83" i="41"/>
  <c r="Y95" i="41"/>
  <c r="AM34" i="40"/>
  <c r="AB34" i="40"/>
  <c r="AM106" i="40"/>
  <c r="AB106" i="40"/>
  <c r="K17" i="40"/>
  <c r="O33" i="40"/>
  <c r="AQ56" i="40"/>
  <c r="I97" i="40"/>
  <c r="K109" i="40"/>
  <c r="I123" i="40"/>
  <c r="Q133" i="40"/>
  <c r="AE133" i="40"/>
  <c r="N133" i="40"/>
  <c r="AC133" i="40"/>
  <c r="M133" i="40"/>
  <c r="W133" i="40"/>
  <c r="AJ133" i="40"/>
  <c r="V133" i="40"/>
  <c r="O132" i="40" s="1"/>
  <c r="AI133" i="40"/>
  <c r="S133" i="40"/>
  <c r="AO36" i="40"/>
  <c r="I12" i="40"/>
  <c r="U26" i="40"/>
  <c r="Z26" i="40" s="1"/>
  <c r="L51" i="40"/>
  <c r="L61" i="40"/>
  <c r="L81" i="40"/>
  <c r="Y85" i="40"/>
  <c r="Z84" i="40"/>
  <c r="AN86" i="40"/>
  <c r="AN87" i="40" s="1"/>
  <c r="AN111" i="40"/>
  <c r="AN137" i="40" s="1"/>
  <c r="I116" i="40"/>
  <c r="AN17" i="40"/>
  <c r="I32" i="40"/>
  <c r="O51" i="40"/>
  <c r="I68" i="40"/>
  <c r="AK74" i="40"/>
  <c r="Z79" i="40"/>
  <c r="AM88" i="40"/>
  <c r="AN98" i="40"/>
  <c r="AP103" i="40"/>
  <c r="O109" i="40"/>
  <c r="K114" i="40"/>
  <c r="K119" i="40"/>
  <c r="AN126" i="40"/>
  <c r="O38" i="40"/>
  <c r="AN85" i="40"/>
  <c r="Y109" i="40"/>
  <c r="AN136" i="40"/>
  <c r="AQ14" i="40"/>
  <c r="I30" i="40"/>
  <c r="U35" i="40"/>
  <c r="AM35" i="40" s="1"/>
  <c r="Y44" i="40"/>
  <c r="I43" i="40"/>
  <c r="O56" i="40"/>
  <c r="I54" i="40"/>
  <c r="L71" i="40"/>
  <c r="I73" i="40"/>
  <c r="O78" i="40"/>
  <c r="AB79" i="40"/>
  <c r="AB81" i="40" s="1"/>
  <c r="AP102" i="40"/>
  <c r="L122" i="40"/>
  <c r="O28" i="40"/>
  <c r="AK44" i="40"/>
  <c r="L44" i="40"/>
  <c r="O71" i="40"/>
  <c r="K101" i="40"/>
  <c r="AN105" i="40"/>
  <c r="I124" i="40"/>
  <c r="I15" i="40"/>
  <c r="L33" i="40"/>
  <c r="AA59" i="40"/>
  <c r="AO59" i="40" s="1"/>
  <c r="AQ81" i="40"/>
  <c r="AA86" i="40"/>
  <c r="AA87" i="40" s="1"/>
  <c r="AK93" i="40"/>
  <c r="AK104" i="40"/>
  <c r="AM103" i="40"/>
  <c r="AM104" i="40" s="1"/>
  <c r="AQ122" i="40"/>
  <c r="Z125" i="40"/>
  <c r="J133" i="40"/>
  <c r="AB48" i="40"/>
  <c r="AP48" i="40" s="1"/>
  <c r="AA48" i="40"/>
  <c r="AM107" i="40"/>
  <c r="Z107" i="40"/>
  <c r="U126" i="40"/>
  <c r="AB25" i="40"/>
  <c r="AP25" i="40" s="1"/>
  <c r="AM25" i="40"/>
  <c r="AM124" i="40"/>
  <c r="Z124" i="40"/>
  <c r="AM24" i="40"/>
  <c r="AB24" i="40"/>
  <c r="AA55" i="40"/>
  <c r="AO55" i="40" s="1"/>
  <c r="AB55" i="40"/>
  <c r="AP55" i="40" s="1"/>
  <c r="AM55" i="40"/>
  <c r="Z55" i="40"/>
  <c r="AD55" i="40" s="1"/>
  <c r="AR61" i="40"/>
  <c r="AA108" i="40"/>
  <c r="AO108" i="40" s="1"/>
  <c r="AA54" i="40"/>
  <c r="AO54" i="40" s="1"/>
  <c r="AM54" i="40"/>
  <c r="AB54" i="40"/>
  <c r="Z54" i="40"/>
  <c r="AM100" i="40"/>
  <c r="AB100" i="40"/>
  <c r="AP100" i="40" s="1"/>
  <c r="AA100" i="40"/>
  <c r="AO100" i="40" s="1"/>
  <c r="Z100" i="40"/>
  <c r="U20" i="40"/>
  <c r="AA18" i="40"/>
  <c r="AM50" i="40"/>
  <c r="AA50" i="40"/>
  <c r="AQ44" i="40"/>
  <c r="Z92" i="40"/>
  <c r="O14" i="40"/>
  <c r="O17" i="40"/>
  <c r="AK17" i="40"/>
  <c r="Y135" i="40"/>
  <c r="AK136" i="40"/>
  <c r="AA32" i="40"/>
  <c r="Z35" i="40"/>
  <c r="AR39" i="40"/>
  <c r="AR44" i="40" s="1"/>
  <c r="I41" i="40"/>
  <c r="I45" i="40"/>
  <c r="U47" i="40"/>
  <c r="AM53" i="40"/>
  <c r="AK61" i="40"/>
  <c r="AN67" i="40"/>
  <c r="AN71" i="40" s="1"/>
  <c r="AM79" i="40"/>
  <c r="AM81" i="40" s="1"/>
  <c r="Y81" i="40"/>
  <c r="AA92" i="40"/>
  <c r="AO92" i="40" s="1"/>
  <c r="AN101" i="40"/>
  <c r="U105" i="40"/>
  <c r="U109" i="40" s="1"/>
  <c r="O126" i="40"/>
  <c r="AA19" i="40"/>
  <c r="Y20" i="40"/>
  <c r="Y134" i="40"/>
  <c r="Y17" i="40"/>
  <c r="I18" i="40"/>
  <c r="I20" i="40" s="1"/>
  <c r="U21" i="40"/>
  <c r="K22" i="40"/>
  <c r="I25" i="40"/>
  <c r="Z30" i="40"/>
  <c r="I31" i="40"/>
  <c r="AK33" i="40"/>
  <c r="AN34" i="40"/>
  <c r="AN38" i="40" s="1"/>
  <c r="AA35" i="40"/>
  <c r="AO35" i="40" s="1"/>
  <c r="Z36" i="40"/>
  <c r="I40" i="40"/>
  <c r="U75" i="40"/>
  <c r="L78" i="40"/>
  <c r="U90" i="40"/>
  <c r="AR91" i="40"/>
  <c r="AR93" i="40" s="1"/>
  <c r="AR102" i="40"/>
  <c r="AR104" i="40" s="1"/>
  <c r="AQ104" i="40"/>
  <c r="AR111" i="40"/>
  <c r="AR120" i="40"/>
  <c r="AR122" i="40" s="1"/>
  <c r="K44" i="40"/>
  <c r="I24" i="40"/>
  <c r="AK81" i="40"/>
  <c r="AQ33" i="40"/>
  <c r="AA30" i="40"/>
  <c r="AO30" i="40" s="1"/>
  <c r="AM32" i="40"/>
  <c r="AB35" i="40"/>
  <c r="AP35" i="40" s="1"/>
  <c r="L46" i="40"/>
  <c r="AN57" i="40"/>
  <c r="AN61" i="40" s="1"/>
  <c r="U87" i="40"/>
  <c r="AA88" i="40"/>
  <c r="AO88" i="40" s="1"/>
  <c r="Y126" i="40"/>
  <c r="O129" i="40"/>
  <c r="AN78" i="40"/>
  <c r="U23" i="40"/>
  <c r="Z32" i="40"/>
  <c r="AD32" i="40" s="1"/>
  <c r="AL32" i="40" s="1"/>
  <c r="U99" i="40"/>
  <c r="U101" i="40" s="1"/>
  <c r="K141" i="40"/>
  <c r="K38" i="40"/>
  <c r="AK51" i="40"/>
  <c r="AK56" i="40"/>
  <c r="AN56" i="40"/>
  <c r="AQ61" i="40"/>
  <c r="K71" i="40"/>
  <c r="AR72" i="40"/>
  <c r="AR74" i="40" s="1"/>
  <c r="AN80" i="40"/>
  <c r="AN81" i="40" s="1"/>
  <c r="Z88" i="40"/>
  <c r="AD88" i="40" s="1"/>
  <c r="K93" i="40"/>
  <c r="AM94" i="40"/>
  <c r="K122" i="40"/>
  <c r="U52" i="40"/>
  <c r="AR114" i="40"/>
  <c r="AR12" i="40"/>
  <c r="AR14" i="40" s="1"/>
  <c r="AQ17" i="40"/>
  <c r="K28" i="40"/>
  <c r="I29" i="40"/>
  <c r="AM30" i="40"/>
  <c r="AB37" i="40"/>
  <c r="AP37" i="40" s="1"/>
  <c r="U45" i="40"/>
  <c r="AM45" i="40" s="1"/>
  <c r="AM46" i="40" s="1"/>
  <c r="O46" i="40"/>
  <c r="Z86" i="40"/>
  <c r="O87" i="40"/>
  <c r="AP92" i="40"/>
  <c r="Z106" i="40"/>
  <c r="Y119" i="40"/>
  <c r="K126" i="40"/>
  <c r="AM125" i="40"/>
  <c r="AR56" i="40"/>
  <c r="AR66" i="40"/>
  <c r="I13" i="40"/>
  <c r="K14" i="40"/>
  <c r="L136" i="40"/>
  <c r="Z31" i="40"/>
  <c r="Y46" i="40"/>
  <c r="AQ51" i="40"/>
  <c r="AP54" i="40"/>
  <c r="Y66" i="40"/>
  <c r="I72" i="40"/>
  <c r="AA79" i="40"/>
  <c r="AO79" i="40" s="1"/>
  <c r="AA80" i="40"/>
  <c r="AD80" i="40" s="1"/>
  <c r="AA106" i="40"/>
  <c r="AO106" i="40" s="1"/>
  <c r="L126" i="40"/>
  <c r="I50" i="39"/>
  <c r="AR89" i="39"/>
  <c r="L92" i="39"/>
  <c r="S100" i="39"/>
  <c r="T100" i="39"/>
  <c r="AJ100" i="39"/>
  <c r="X100" i="39"/>
  <c r="I16" i="39"/>
  <c r="I17" i="39" s="1"/>
  <c r="L21" i="39"/>
  <c r="I44" i="39"/>
  <c r="Y54" i="39"/>
  <c r="AN64" i="39"/>
  <c r="K74" i="39"/>
  <c r="Y64" i="39"/>
  <c r="L84" i="39"/>
  <c r="Y99" i="39"/>
  <c r="L30" i="39"/>
  <c r="I43" i="39"/>
  <c r="I56" i="39"/>
  <c r="K69" i="39"/>
  <c r="I71" i="39"/>
  <c r="K89" i="39"/>
  <c r="AK92" i="39"/>
  <c r="I94" i="39"/>
  <c r="I12" i="39"/>
  <c r="I53" i="39"/>
  <c r="AN84" i="39"/>
  <c r="AA87" i="39"/>
  <c r="AO87" i="39" s="1"/>
  <c r="K25" i="39"/>
  <c r="Y30" i="39"/>
  <c r="I52" i="39"/>
  <c r="I23" i="39"/>
  <c r="I25" i="39" s="1"/>
  <c r="I36" i="39"/>
  <c r="I37" i="39" s="1"/>
  <c r="Z53" i="39"/>
  <c r="I62" i="39"/>
  <c r="U85" i="39"/>
  <c r="AA85" i="39" s="1"/>
  <c r="AA18" i="39"/>
  <c r="AO18" i="39" s="1"/>
  <c r="Z18" i="39"/>
  <c r="AB16" i="39"/>
  <c r="AP16" i="39" s="1"/>
  <c r="AM16" i="39"/>
  <c r="Z16" i="39"/>
  <c r="AA16" i="39"/>
  <c r="AO16" i="39" s="1"/>
  <c r="AA51" i="39"/>
  <c r="AO51" i="39" s="1"/>
  <c r="AB51" i="39"/>
  <c r="AM51" i="39"/>
  <c r="AB15" i="39"/>
  <c r="AM15" i="39"/>
  <c r="AA15" i="39"/>
  <c r="AD15" i="39" s="1"/>
  <c r="AL15" i="39" s="1"/>
  <c r="Z15" i="39"/>
  <c r="AM32" i="39"/>
  <c r="AA32" i="39"/>
  <c r="AO32" i="39" s="1"/>
  <c r="Z32" i="39"/>
  <c r="K104" i="39"/>
  <c r="AB33" i="39"/>
  <c r="L37" i="39"/>
  <c r="L59" i="39"/>
  <c r="I61" i="39"/>
  <c r="AO61" i="39"/>
  <c r="AN65" i="39"/>
  <c r="AR90" i="39"/>
  <c r="AR92" i="39" s="1"/>
  <c r="AA33" i="39"/>
  <c r="L47" i="39"/>
  <c r="AQ92" i="39"/>
  <c r="Y101" i="39"/>
  <c r="O108" i="39"/>
  <c r="L25" i="39"/>
  <c r="AA36" i="39"/>
  <c r="Y47" i="39"/>
  <c r="AR54" i="39"/>
  <c r="AA58" i="39"/>
  <c r="O79" i="39"/>
  <c r="Z76" i="39"/>
  <c r="I82" i="39"/>
  <c r="U14" i="39"/>
  <c r="U17" i="39" s="1"/>
  <c r="AK101" i="39"/>
  <c r="Y21" i="39"/>
  <c r="AP23" i="39"/>
  <c r="I24" i="39"/>
  <c r="I51" i="39"/>
  <c r="I54" i="39" s="1"/>
  <c r="AN52" i="39"/>
  <c r="AN54" i="39" s="1"/>
  <c r="L64" i="39"/>
  <c r="I93" i="39"/>
  <c r="K59" i="39"/>
  <c r="K13" i="39"/>
  <c r="AM36" i="39"/>
  <c r="Y89" i="39"/>
  <c r="M100" i="39"/>
  <c r="AK54" i="39"/>
  <c r="U12" i="39"/>
  <c r="AK13" i="39"/>
  <c r="AK108" i="39"/>
  <c r="U31" i="39"/>
  <c r="U103" i="39" s="1"/>
  <c r="AP33" i="39"/>
  <c r="U38" i="39"/>
  <c r="AA38" i="39" s="1"/>
  <c r="AA39" i="39" s="1"/>
  <c r="K42" i="39"/>
  <c r="AB58" i="39"/>
  <c r="AP58" i="39" s="1"/>
  <c r="AG100" i="39"/>
  <c r="T97" i="39"/>
  <c r="M19" i="47" s="1"/>
  <c r="I14" i="39"/>
  <c r="K17" i="39"/>
  <c r="AK21" i="39"/>
  <c r="O25" i="39"/>
  <c r="AA27" i="39"/>
  <c r="AO27" i="39" s="1"/>
  <c r="Y103" i="39"/>
  <c r="O35" i="39"/>
  <c r="AQ59" i="39"/>
  <c r="AO56" i="39"/>
  <c r="AR64" i="39"/>
  <c r="Z62" i="39"/>
  <c r="O69" i="39"/>
  <c r="AB85" i="39"/>
  <c r="AB86" i="39"/>
  <c r="AB87" i="39"/>
  <c r="AB88" i="39"/>
  <c r="Y96" i="39"/>
  <c r="AQ26" i="41"/>
  <c r="AQ83" i="41"/>
  <c r="AQ102" i="41"/>
  <c r="AQ115" i="41"/>
  <c r="AQ59" i="41"/>
  <c r="AQ70" i="41"/>
  <c r="AQ20" i="41"/>
  <c r="AQ54" i="41"/>
  <c r="AQ64" i="41"/>
  <c r="AQ67" i="41"/>
  <c r="AQ107" i="41"/>
  <c r="AQ20" i="40"/>
  <c r="AQ98" i="40"/>
  <c r="AQ119" i="40"/>
  <c r="AQ141" i="40"/>
  <c r="AQ136" i="40"/>
  <c r="AQ54" i="39"/>
  <c r="AQ69" i="39"/>
  <c r="AQ89" i="39"/>
  <c r="AQ13" i="39"/>
  <c r="AQ84" i="39"/>
  <c r="AQ101" i="39"/>
  <c r="AQ108" i="39"/>
  <c r="AQ64" i="39"/>
  <c r="AQ74" i="39"/>
  <c r="AP27" i="42"/>
  <c r="AP93" i="42"/>
  <c r="AP35" i="42"/>
  <c r="AP15" i="42"/>
  <c r="AP18" i="42"/>
  <c r="AB41" i="42"/>
  <c r="AP41" i="42" s="1"/>
  <c r="Z41" i="42"/>
  <c r="AA41" i="42"/>
  <c r="AO41" i="42" s="1"/>
  <c r="AM41" i="42"/>
  <c r="AK28" i="42"/>
  <c r="AK33" i="42"/>
  <c r="AB85" i="42"/>
  <c r="AP85" i="42" s="1"/>
  <c r="AA85" i="42"/>
  <c r="AB88" i="42"/>
  <c r="AP88" i="42" s="1"/>
  <c r="AA88" i="42"/>
  <c r="AO88" i="42" s="1"/>
  <c r="U89" i="42"/>
  <c r="AR12" i="42"/>
  <c r="AR14" i="42"/>
  <c r="AR158" i="42" s="1"/>
  <c r="AR17" i="42"/>
  <c r="AR163" i="42" s="1"/>
  <c r="AR20" i="42"/>
  <c r="AR22" i="42" s="1"/>
  <c r="AR23" i="42"/>
  <c r="AR25" i="42" s="1"/>
  <c r="AR29" i="42"/>
  <c r="AR31" i="42" s="1"/>
  <c r="AR34" i="42"/>
  <c r="AR36" i="42" s="1"/>
  <c r="AR37" i="42"/>
  <c r="Y157" i="42"/>
  <c r="AM39" i="42"/>
  <c r="AB40" i="42"/>
  <c r="AD40" i="42" s="1"/>
  <c r="AL40" i="42" s="1"/>
  <c r="AM42" i="42"/>
  <c r="I45" i="42"/>
  <c r="Z45" i="42"/>
  <c r="I46" i="42"/>
  <c r="Z46" i="42"/>
  <c r="I47" i="42"/>
  <c r="Z47" i="42"/>
  <c r="AD47" i="42" s="1"/>
  <c r="I50" i="42"/>
  <c r="AR56" i="42"/>
  <c r="AR92" i="42"/>
  <c r="AB95" i="42"/>
  <c r="AP95" i="42" s="1"/>
  <c r="AA95" i="42"/>
  <c r="AO95" i="42" s="1"/>
  <c r="AM95" i="42"/>
  <c r="Z95" i="42"/>
  <c r="AA101" i="42"/>
  <c r="AO101" i="42" s="1"/>
  <c r="AM101" i="42"/>
  <c r="AB101" i="42"/>
  <c r="AP101" i="42" s="1"/>
  <c r="AQ19" i="42"/>
  <c r="I12" i="42"/>
  <c r="Z12" i="42"/>
  <c r="AM12" i="42"/>
  <c r="I13" i="42"/>
  <c r="Z13" i="42"/>
  <c r="AM13" i="42"/>
  <c r="I14" i="42"/>
  <c r="Z14" i="42"/>
  <c r="AM14" i="42"/>
  <c r="I15" i="42"/>
  <c r="Z15" i="42"/>
  <c r="AM15" i="42"/>
  <c r="I16" i="42"/>
  <c r="Z16" i="42"/>
  <c r="AM16" i="42"/>
  <c r="I17" i="42"/>
  <c r="Z17" i="42"/>
  <c r="AM17" i="42"/>
  <c r="I18" i="42"/>
  <c r="Z18" i="42"/>
  <c r="AM18" i="42"/>
  <c r="O19" i="42"/>
  <c r="U19" i="42"/>
  <c r="I20" i="42"/>
  <c r="Z20" i="42"/>
  <c r="AM20" i="42"/>
  <c r="I21" i="42"/>
  <c r="Z21" i="42"/>
  <c r="AM21" i="42"/>
  <c r="U22" i="42"/>
  <c r="I23" i="42"/>
  <c r="I24" i="42"/>
  <c r="Z24" i="42"/>
  <c r="AM24" i="42"/>
  <c r="I26" i="42"/>
  <c r="I27" i="42"/>
  <c r="Z27" i="42"/>
  <c r="AM27" i="42"/>
  <c r="I29" i="42"/>
  <c r="Z29" i="42"/>
  <c r="AM29" i="42"/>
  <c r="I30" i="42"/>
  <c r="Z30" i="42"/>
  <c r="AM30" i="42"/>
  <c r="U31" i="42"/>
  <c r="I32" i="42"/>
  <c r="Z32" i="42"/>
  <c r="AM32" i="42"/>
  <c r="AM33" i="42" s="1"/>
  <c r="U33" i="42"/>
  <c r="I34" i="42"/>
  <c r="Z34" i="42"/>
  <c r="AM34" i="42"/>
  <c r="I35" i="42"/>
  <c r="Z35" i="42"/>
  <c r="AM35" i="42"/>
  <c r="U36" i="42"/>
  <c r="I37" i="42"/>
  <c r="Z37" i="42"/>
  <c r="AM37" i="42"/>
  <c r="O38" i="42"/>
  <c r="U38" i="42"/>
  <c r="I39" i="42"/>
  <c r="Z39" i="42"/>
  <c r="AN43" i="42"/>
  <c r="U43" i="42"/>
  <c r="I56" i="42"/>
  <c r="AN62" i="42"/>
  <c r="Z81" i="42"/>
  <c r="AB83" i="42"/>
  <c r="AP83" i="42" s="1"/>
  <c r="AA83" i="42"/>
  <c r="AO83" i="42" s="1"/>
  <c r="Z85" i="42"/>
  <c r="AB87" i="42"/>
  <c r="AP87" i="42" s="1"/>
  <c r="AA87" i="42"/>
  <c r="AO87" i="42" s="1"/>
  <c r="Z88" i="42"/>
  <c r="L92" i="42"/>
  <c r="U94" i="42"/>
  <c r="U96" i="42" s="1"/>
  <c r="K99" i="42"/>
  <c r="I97" i="42"/>
  <c r="AR100" i="42"/>
  <c r="AR103" i="42" s="1"/>
  <c r="AK103" i="42"/>
  <c r="AR104" i="42"/>
  <c r="AR106" i="42" s="1"/>
  <c r="AK114" i="42"/>
  <c r="AR110" i="42"/>
  <c r="AR114" i="42" s="1"/>
  <c r="AQ38" i="42"/>
  <c r="AB81" i="42"/>
  <c r="AP81" i="42" s="1"/>
  <c r="AA81" i="42"/>
  <c r="AA13" i="42"/>
  <c r="AA14" i="42"/>
  <c r="AA15" i="42"/>
  <c r="AO15" i="42" s="1"/>
  <c r="AA16" i="42"/>
  <c r="AO16" i="42" s="1"/>
  <c r="AA17" i="42"/>
  <c r="AO17" i="42" s="1"/>
  <c r="AA18" i="42"/>
  <c r="AO18" i="42" s="1"/>
  <c r="AN19" i="42"/>
  <c r="AA20" i="42"/>
  <c r="AA21" i="42"/>
  <c r="AO21" i="42" s="1"/>
  <c r="AA24" i="42"/>
  <c r="AO24" i="42" s="1"/>
  <c r="AA27" i="42"/>
  <c r="AO27" i="42" s="1"/>
  <c r="AA29" i="42"/>
  <c r="AO29" i="42" s="1"/>
  <c r="AA30" i="42"/>
  <c r="AO30" i="42" s="1"/>
  <c r="AA32" i="42"/>
  <c r="AA33" i="42" s="1"/>
  <c r="AA34" i="42"/>
  <c r="AA35" i="42"/>
  <c r="AO35" i="42" s="1"/>
  <c r="AA37" i="42"/>
  <c r="AN38" i="42"/>
  <c r="AA39" i="42"/>
  <c r="AO39" i="42" s="1"/>
  <c r="AK43" i="42"/>
  <c r="L48" i="42"/>
  <c r="AP44" i="42"/>
  <c r="AK159" i="42"/>
  <c r="AK52" i="42"/>
  <c r="AR49" i="42"/>
  <c r="P159" i="42"/>
  <c r="U50" i="42"/>
  <c r="P52" i="42"/>
  <c r="AD73" i="42"/>
  <c r="I80" i="42"/>
  <c r="AA102" i="42"/>
  <c r="AO102" i="42" s="1"/>
  <c r="AB102" i="42"/>
  <c r="AP102" i="42" s="1"/>
  <c r="Z102" i="42"/>
  <c r="AN113" i="42"/>
  <c r="AN114" i="42" s="1"/>
  <c r="Z113" i="42"/>
  <c r="AA127" i="42"/>
  <c r="AB127" i="42"/>
  <c r="AM127" i="42"/>
  <c r="Z127" i="42"/>
  <c r="AK19" i="42"/>
  <c r="AK38" i="42"/>
  <c r="P157" i="42"/>
  <c r="P43" i="42"/>
  <c r="AM93" i="42"/>
  <c r="Z93" i="42"/>
  <c r="AA93" i="42"/>
  <c r="AO93" i="42" s="1"/>
  <c r="AB12" i="42"/>
  <c r="AB14" i="42"/>
  <c r="L163" i="42"/>
  <c r="AB17" i="42"/>
  <c r="AP17" i="42" s="1"/>
  <c r="K19" i="42"/>
  <c r="AO20" i="42"/>
  <c r="AB37" i="42"/>
  <c r="K38" i="42"/>
  <c r="L157" i="42"/>
  <c r="L43" i="42"/>
  <c r="AB39" i="42"/>
  <c r="AQ157" i="42"/>
  <c r="AM40" i="42"/>
  <c r="I42" i="42"/>
  <c r="Z42" i="42"/>
  <c r="L159" i="42"/>
  <c r="I49" i="42"/>
  <c r="L52" i="42"/>
  <c r="U52" i="42"/>
  <c r="AN56" i="42"/>
  <c r="AM81" i="42"/>
  <c r="AM84" i="42" s="1"/>
  <c r="AB82" i="42"/>
  <c r="AP82" i="42" s="1"/>
  <c r="AA82" i="42"/>
  <c r="AO82" i="42" s="1"/>
  <c r="AM85" i="42"/>
  <c r="AB86" i="42"/>
  <c r="AP86" i="42" s="1"/>
  <c r="AA86" i="42"/>
  <c r="AO86" i="42" s="1"/>
  <c r="AM88" i="42"/>
  <c r="I93" i="42"/>
  <c r="K96" i="42"/>
  <c r="I100" i="42"/>
  <c r="L103" i="42"/>
  <c r="AP12" i="42"/>
  <c r="L19" i="42"/>
  <c r="AP20" i="42"/>
  <c r="AP26" i="42"/>
  <c r="AP29" i="42"/>
  <c r="AP31" i="42" s="1"/>
  <c r="AP32" i="42"/>
  <c r="AP33" i="42" s="1"/>
  <c r="AP34" i="42"/>
  <c r="L38" i="42"/>
  <c r="AK157" i="42"/>
  <c r="AR39" i="42"/>
  <c r="AB42" i="42"/>
  <c r="AP42" i="42" s="1"/>
  <c r="AQ159" i="42"/>
  <c r="AQ52" i="42"/>
  <c r="AR62" i="42"/>
  <c r="I164" i="42"/>
  <c r="AN92" i="42"/>
  <c r="I111" i="42"/>
  <c r="AN117" i="42"/>
  <c r="AN120" i="42" s="1"/>
  <c r="Y120" i="42"/>
  <c r="Z117" i="42"/>
  <c r="AN50" i="42"/>
  <c r="AN63" i="42"/>
  <c r="AN65" i="42"/>
  <c r="AN69" i="42" s="1"/>
  <c r="AN70" i="42"/>
  <c r="AN72" i="42" s="1"/>
  <c r="AN73" i="42"/>
  <c r="AN77" i="42" s="1"/>
  <c r="AN78" i="42"/>
  <c r="AN80" i="42" s="1"/>
  <c r="AN81" i="42"/>
  <c r="AN84" i="42" s="1"/>
  <c r="AN85" i="42"/>
  <c r="AN89" i="42" s="1"/>
  <c r="O92" i="42"/>
  <c r="AO91" i="42"/>
  <c r="O103" i="42"/>
  <c r="O106" i="42"/>
  <c r="I105" i="42"/>
  <c r="I106" i="42" s="1"/>
  <c r="AR107" i="42"/>
  <c r="AR109" i="42" s="1"/>
  <c r="AA111" i="42"/>
  <c r="AO111" i="42" s="1"/>
  <c r="AB111" i="42"/>
  <c r="AP111" i="42" s="1"/>
  <c r="Z111" i="42"/>
  <c r="U92" i="42"/>
  <c r="AM90" i="42"/>
  <c r="Z90" i="42"/>
  <c r="AR93" i="42"/>
  <c r="AR96" i="42" s="1"/>
  <c r="O96" i="42"/>
  <c r="AA100" i="42"/>
  <c r="U103" i="42"/>
  <c r="Z100" i="42"/>
  <c r="AM100" i="42"/>
  <c r="AA104" i="42"/>
  <c r="U106" i="42"/>
  <c r="AM104" i="42"/>
  <c r="O114" i="42"/>
  <c r="U110" i="42"/>
  <c r="Y159" i="42"/>
  <c r="L64" i="42"/>
  <c r="AP73" i="42"/>
  <c r="I95" i="42"/>
  <c r="Y99" i="42"/>
  <c r="Z98" i="42"/>
  <c r="O99" i="42"/>
  <c r="U99" i="42"/>
  <c r="L109" i="42"/>
  <c r="I108" i="42"/>
  <c r="I109" i="42" s="1"/>
  <c r="L120" i="42"/>
  <c r="AF152" i="42"/>
  <c r="Y22" i="47" s="1"/>
  <c r="AK56" i="42"/>
  <c r="AK62" i="42"/>
  <c r="Y64" i="42"/>
  <c r="AK64" i="42"/>
  <c r="AQ64" i="42"/>
  <c r="AA90" i="42"/>
  <c r="AA92" i="42" s="1"/>
  <c r="AN93" i="42"/>
  <c r="AN96" i="42" s="1"/>
  <c r="Z97" i="42"/>
  <c r="AM97" i="42"/>
  <c r="AM99" i="42" s="1"/>
  <c r="I98" i="42"/>
  <c r="AA98" i="42"/>
  <c r="AO98" i="42" s="1"/>
  <c r="AO99" i="42" s="1"/>
  <c r="AB100" i="42"/>
  <c r="Z104" i="42"/>
  <c r="AA105" i="42"/>
  <c r="AO105" i="42" s="1"/>
  <c r="AM105" i="42"/>
  <c r="Y106" i="42"/>
  <c r="U107" i="42"/>
  <c r="AA108" i="42"/>
  <c r="AO108" i="42" s="1"/>
  <c r="AB108" i="42"/>
  <c r="AP108" i="42" s="1"/>
  <c r="Z108" i="42"/>
  <c r="AA125" i="42"/>
  <c r="AO125" i="42" s="1"/>
  <c r="AB125" i="42"/>
  <c r="Z125" i="42"/>
  <c r="K159" i="42"/>
  <c r="AN49" i="42"/>
  <c r="AR63" i="42"/>
  <c r="I90" i="42"/>
  <c r="AB90" i="42"/>
  <c r="AM91" i="42"/>
  <c r="Z91" i="42"/>
  <c r="AN99" i="42"/>
  <c r="AB104" i="42"/>
  <c r="Y109" i="42"/>
  <c r="AA121" i="42"/>
  <c r="Z121" i="42"/>
  <c r="AM121" i="42"/>
  <c r="AM122" i="42" s="1"/>
  <c r="U122" i="42"/>
  <c r="AK126" i="42"/>
  <c r="AR123" i="42"/>
  <c r="AR126" i="42" s="1"/>
  <c r="L114" i="42"/>
  <c r="AQ114" i="42"/>
  <c r="AP112" i="42"/>
  <c r="Y114" i="42"/>
  <c r="AK120" i="42"/>
  <c r="AR117" i="42"/>
  <c r="AR120" i="42" s="1"/>
  <c r="AP119" i="42"/>
  <c r="I119" i="42"/>
  <c r="AR121" i="42"/>
  <c r="AR122" i="42" s="1"/>
  <c r="L126" i="42"/>
  <c r="AP123" i="42"/>
  <c r="I123" i="42"/>
  <c r="L133" i="42"/>
  <c r="I130" i="42"/>
  <c r="AA145" i="42"/>
  <c r="AN145" i="42"/>
  <c r="AN146" i="42" s="1"/>
  <c r="Z145" i="42"/>
  <c r="AD145" i="42" s="1"/>
  <c r="AL145" i="42" s="1"/>
  <c r="AG152" i="42"/>
  <c r="Z22" i="47" s="1"/>
  <c r="AA131" i="42"/>
  <c r="Z131" i="42"/>
  <c r="K138" i="42"/>
  <c r="I134" i="42"/>
  <c r="Z137" i="42"/>
  <c r="AM137" i="42"/>
  <c r="AA137" i="42"/>
  <c r="AO137" i="42" s="1"/>
  <c r="AN140" i="42"/>
  <c r="AN142" i="42" s="1"/>
  <c r="AR146" i="42"/>
  <c r="AA144" i="42"/>
  <c r="Z144" i="42"/>
  <c r="M152" i="42"/>
  <c r="F22" i="47" s="1"/>
  <c r="S152" i="42"/>
  <c r="L22" i="47" s="1"/>
  <c r="AH152" i="42"/>
  <c r="AA22" i="47" s="1"/>
  <c r="AM118" i="42"/>
  <c r="AA119" i="42"/>
  <c r="AO119" i="42" s="1"/>
  <c r="Z119" i="42"/>
  <c r="AA123" i="42"/>
  <c r="Z123" i="42"/>
  <c r="Y133" i="42"/>
  <c r="T152" i="42"/>
  <c r="M22" i="47" s="1"/>
  <c r="AI152" i="42"/>
  <c r="AB22" i="47" s="1"/>
  <c r="AN109" i="42"/>
  <c r="AA113" i="42"/>
  <c r="AO113" i="42" s="1"/>
  <c r="AB113" i="42"/>
  <c r="AP113" i="42" s="1"/>
  <c r="L116" i="42"/>
  <c r="U120" i="42"/>
  <c r="L122" i="42"/>
  <c r="AP121" i="42"/>
  <c r="AP122" i="42" s="1"/>
  <c r="I121" i="42"/>
  <c r="AN123" i="42"/>
  <c r="AN126" i="42" s="1"/>
  <c r="Y126" i="42"/>
  <c r="AN131" i="42"/>
  <c r="AB136" i="42"/>
  <c r="AP136" i="42" s="1"/>
  <c r="Z136" i="42"/>
  <c r="AA136" i="42"/>
  <c r="AB137" i="42"/>
  <c r="U128" i="42"/>
  <c r="O129" i="42"/>
  <c r="AO132" i="42"/>
  <c r="K151" i="42"/>
  <c r="I147" i="42"/>
  <c r="AN148" i="42"/>
  <c r="Z148" i="42"/>
  <c r="AA148" i="42"/>
  <c r="AA117" i="42"/>
  <c r="AM117" i="42"/>
  <c r="AA124" i="42"/>
  <c r="AO124" i="42" s="1"/>
  <c r="Y129" i="42"/>
  <c r="AN127" i="42"/>
  <c r="AN129" i="42" s="1"/>
  <c r="AN132" i="42"/>
  <c r="Z132" i="42"/>
  <c r="AD132" i="42" s="1"/>
  <c r="K142" i="42"/>
  <c r="I141" i="42"/>
  <c r="I142" i="42" s="1"/>
  <c r="N152" i="42"/>
  <c r="G22" i="47" s="1"/>
  <c r="AO148" i="42"/>
  <c r="I148" i="42"/>
  <c r="I149" i="42"/>
  <c r="AN150" i="42"/>
  <c r="Z150" i="42"/>
  <c r="V152" i="42"/>
  <c r="O22" i="47" s="1"/>
  <c r="V155" i="42"/>
  <c r="AA115" i="42"/>
  <c r="AM115" i="42"/>
  <c r="AM116" i="42" s="1"/>
  <c r="AB117" i="42"/>
  <c r="AP127" i="42"/>
  <c r="AR127" i="42"/>
  <c r="AR129" i="42" s="1"/>
  <c r="AK129" i="42"/>
  <c r="AB130" i="42"/>
  <c r="AB133" i="42" s="1"/>
  <c r="Z130" i="42"/>
  <c r="AM131" i="42"/>
  <c r="AM133" i="42" s="1"/>
  <c r="AP132" i="42"/>
  <c r="Y138" i="42"/>
  <c r="AN134" i="42"/>
  <c r="AN138" i="42" s="1"/>
  <c r="Z134" i="42"/>
  <c r="AM135" i="42"/>
  <c r="U138" i="42"/>
  <c r="AO150" i="42"/>
  <c r="I150" i="42"/>
  <c r="J152" i="42"/>
  <c r="R152" i="42"/>
  <c r="K22" i="47" s="1"/>
  <c r="X152" i="42"/>
  <c r="Q22" i="47" s="1"/>
  <c r="AP131" i="42"/>
  <c r="AP135" i="42"/>
  <c r="Y142" i="42"/>
  <c r="Y146" i="42"/>
  <c r="AO144" i="42"/>
  <c r="L138" i="42"/>
  <c r="AP134" i="42"/>
  <c r="AA139" i="42"/>
  <c r="AO139" i="42" s="1"/>
  <c r="K146" i="42"/>
  <c r="AA143" i="42"/>
  <c r="Y151" i="42"/>
  <c r="AC152" i="42"/>
  <c r="V22" i="47" s="1"/>
  <c r="AJ152" i="42"/>
  <c r="AC22" i="47" s="1"/>
  <c r="L142" i="42"/>
  <c r="AP139" i="42"/>
  <c r="L146" i="42"/>
  <c r="AP143" i="42"/>
  <c r="AO145" i="42"/>
  <c r="Q152" i="42"/>
  <c r="J22" i="47" s="1"/>
  <c r="W152" i="42"/>
  <c r="P22" i="47" s="1"/>
  <c r="AE152" i="42"/>
  <c r="AR130" i="42"/>
  <c r="AR133" i="42" s="1"/>
  <c r="AM17" i="41"/>
  <c r="AB17" i="41"/>
  <c r="AP17" i="41" s="1"/>
  <c r="AA17" i="41"/>
  <c r="AO17" i="41" s="1"/>
  <c r="Z17" i="41"/>
  <c r="AB19" i="41"/>
  <c r="AP19" i="41" s="1"/>
  <c r="AA19" i="41"/>
  <c r="AO19" i="41" s="1"/>
  <c r="Z19" i="41"/>
  <c r="AM19" i="41"/>
  <c r="AB14" i="41"/>
  <c r="AP14" i="41" s="1"/>
  <c r="AA14" i="41"/>
  <c r="AO14" i="41" s="1"/>
  <c r="Z14" i="41"/>
  <c r="AM14" i="41"/>
  <c r="AB25" i="41"/>
  <c r="AP25" i="41" s="1"/>
  <c r="AA25" i="41"/>
  <c r="AO25" i="41" s="1"/>
  <c r="Z25" i="41"/>
  <c r="AM25" i="41"/>
  <c r="K112" i="41"/>
  <c r="J108" i="41"/>
  <c r="C21" i="47" s="1"/>
  <c r="V108" i="41"/>
  <c r="O21" i="47" s="1"/>
  <c r="AC108" i="41"/>
  <c r="V21" i="47" s="1"/>
  <c r="AI108" i="41"/>
  <c r="AB21" i="47" s="1"/>
  <c r="U16" i="41"/>
  <c r="AK113" i="41"/>
  <c r="AR16" i="41"/>
  <c r="I17" i="41"/>
  <c r="I20" i="41" s="1"/>
  <c r="AB18" i="41"/>
  <c r="AP18" i="41" s="1"/>
  <c r="AK119" i="41"/>
  <c r="AR19" i="41"/>
  <c r="AR119" i="41" s="1"/>
  <c r="AA23" i="41"/>
  <c r="AO23" i="41" s="1"/>
  <c r="U27" i="41"/>
  <c r="AK120" i="41"/>
  <c r="AR27" i="41"/>
  <c r="O28" i="41"/>
  <c r="AP31" i="41"/>
  <c r="AP32" i="41"/>
  <c r="U38" i="41"/>
  <c r="AQ43" i="41"/>
  <c r="AB41" i="41"/>
  <c r="AM41" i="41"/>
  <c r="AA41" i="41"/>
  <c r="AO41" i="41" s="1"/>
  <c r="AP47" i="41"/>
  <c r="AM60" i="41"/>
  <c r="Z60" i="41"/>
  <c r="U64" i="41"/>
  <c r="AB60" i="41"/>
  <c r="AA60" i="41"/>
  <c r="L112" i="41"/>
  <c r="I14" i="41"/>
  <c r="K15" i="41"/>
  <c r="Q108" i="41"/>
  <c r="J21" i="47" s="1"/>
  <c r="W108" i="41"/>
  <c r="P21" i="47" s="1"/>
  <c r="AJ108" i="41"/>
  <c r="AC21" i="47" s="1"/>
  <c r="AQ15" i="41"/>
  <c r="AR26" i="41"/>
  <c r="I22" i="41"/>
  <c r="AB23" i="41"/>
  <c r="I25" i="41"/>
  <c r="K26" i="41"/>
  <c r="I30" i="41"/>
  <c r="AN115" i="41"/>
  <c r="AM31" i="41"/>
  <c r="AM32" i="41"/>
  <c r="AQ33" i="41"/>
  <c r="AK38" i="41"/>
  <c r="U43" i="41"/>
  <c r="AB39" i="41"/>
  <c r="AM39" i="41"/>
  <c r="Z39" i="41"/>
  <c r="AO40" i="41"/>
  <c r="I40" i="41"/>
  <c r="AN64" i="41"/>
  <c r="L15" i="41"/>
  <c r="K20" i="41"/>
  <c r="L26" i="41"/>
  <c r="AK26" i="41"/>
  <c r="K28" i="41"/>
  <c r="O33" i="41"/>
  <c r="AM62" i="41"/>
  <c r="AA62" i="41"/>
  <c r="Z62" i="41"/>
  <c r="AB62" i="41"/>
  <c r="AP62" i="41" s="1"/>
  <c r="U12" i="41"/>
  <c r="AK112" i="41"/>
  <c r="AR12" i="41"/>
  <c r="L20" i="41"/>
  <c r="AK20" i="41"/>
  <c r="L28" i="41"/>
  <c r="I29" i="41"/>
  <c r="L115" i="41"/>
  <c r="K38" i="41"/>
  <c r="AO34" i="41"/>
  <c r="AM57" i="41"/>
  <c r="Z57" i="41"/>
  <c r="AB57" i="41"/>
  <c r="AP57" i="41" s="1"/>
  <c r="AA57" i="41"/>
  <c r="AO57" i="41" s="1"/>
  <c r="Z18" i="41"/>
  <c r="AM23" i="41"/>
  <c r="Z31" i="41"/>
  <c r="Z32" i="41"/>
  <c r="AK33" i="41"/>
  <c r="K43" i="41"/>
  <c r="AO39" i="41"/>
  <c r="I39" i="41"/>
  <c r="AK43" i="41"/>
  <c r="AR39" i="41"/>
  <c r="AR43" i="41" s="1"/>
  <c r="AB40" i="41"/>
  <c r="AP40" i="41" s="1"/>
  <c r="AM40" i="41"/>
  <c r="Z40" i="41"/>
  <c r="I41" i="41"/>
  <c r="I15" i="41"/>
  <c r="O15" i="41"/>
  <c r="O113" i="41"/>
  <c r="AQ113" i="41"/>
  <c r="O119" i="41"/>
  <c r="AQ119" i="41"/>
  <c r="AN20" i="41"/>
  <c r="U22" i="41"/>
  <c r="U26" i="41" s="1"/>
  <c r="AN28" i="41"/>
  <c r="L33" i="41"/>
  <c r="U30" i="41"/>
  <c r="U33" i="41" s="1"/>
  <c r="AR30" i="41"/>
  <c r="AA31" i="41"/>
  <c r="AO31" i="41" s="1"/>
  <c r="AA32" i="41"/>
  <c r="AO32" i="41" s="1"/>
  <c r="AN43" i="41"/>
  <c r="AP41" i="41"/>
  <c r="AM53" i="41"/>
  <c r="Z53" i="41"/>
  <c r="AB53" i="41"/>
  <c r="AP53" i="41" s="1"/>
  <c r="AA53" i="41"/>
  <c r="AO53" i="41" s="1"/>
  <c r="AM58" i="41"/>
  <c r="Z58" i="41"/>
  <c r="AB58" i="41"/>
  <c r="AP58" i="41" s="1"/>
  <c r="AA58" i="41"/>
  <c r="AO58" i="41" s="1"/>
  <c r="N108" i="41"/>
  <c r="G21" i="47" s="1"/>
  <c r="T108" i="41"/>
  <c r="M21" i="47" s="1"/>
  <c r="Y113" i="41"/>
  <c r="Y119" i="41"/>
  <c r="Y120" i="41"/>
  <c r="Y115" i="41"/>
  <c r="AP44" i="41"/>
  <c r="AP50" i="41"/>
  <c r="AP51" i="41" s="1"/>
  <c r="O54" i="41"/>
  <c r="I55" i="41"/>
  <c r="K59" i="41"/>
  <c r="AR55" i="41"/>
  <c r="AR59" i="41" s="1"/>
  <c r="I66" i="41"/>
  <c r="Y70" i="41"/>
  <c r="AB72" i="41"/>
  <c r="AP72" i="41" s="1"/>
  <c r="AA72" i="41"/>
  <c r="AO72" i="41" s="1"/>
  <c r="AM72" i="41"/>
  <c r="Z72" i="41"/>
  <c r="AM85" i="41"/>
  <c r="Z85" i="41"/>
  <c r="AB85" i="41"/>
  <c r="AP85" i="41" s="1"/>
  <c r="AA85" i="41"/>
  <c r="AO85" i="41" s="1"/>
  <c r="Y43" i="41"/>
  <c r="Y49" i="41"/>
  <c r="Y51" i="41"/>
  <c r="U54" i="41"/>
  <c r="Y54" i="41"/>
  <c r="I56" i="41"/>
  <c r="Y64" i="41"/>
  <c r="AM61" i="41"/>
  <c r="Z61" i="41"/>
  <c r="AB61" i="41"/>
  <c r="AP61" i="41" s="1"/>
  <c r="I69" i="41"/>
  <c r="AM80" i="41"/>
  <c r="Z80" i="41"/>
  <c r="AB80" i="41"/>
  <c r="AP80" i="41" s="1"/>
  <c r="AA80" i="41"/>
  <c r="AO80" i="41" s="1"/>
  <c r="I57" i="41"/>
  <c r="AF115" i="41"/>
  <c r="AF111" i="41" s="1"/>
  <c r="AK62" i="41"/>
  <c r="AR62" i="41" s="1"/>
  <c r="AR64" i="41" s="1"/>
  <c r="K67" i="41"/>
  <c r="I65" i="41"/>
  <c r="AB66" i="41"/>
  <c r="AP66" i="41" s="1"/>
  <c r="AM66" i="41"/>
  <c r="Z66" i="41"/>
  <c r="AB73" i="41"/>
  <c r="AP73" i="41" s="1"/>
  <c r="AA73" i="41"/>
  <c r="AO73" i="41" s="1"/>
  <c r="AM73" i="41"/>
  <c r="Z73" i="41"/>
  <c r="I42" i="41"/>
  <c r="Z42" i="41"/>
  <c r="AM42" i="41"/>
  <c r="I44" i="41"/>
  <c r="Z44" i="41"/>
  <c r="AM44" i="41"/>
  <c r="I45" i="41"/>
  <c r="Z45" i="41"/>
  <c r="AM45" i="41"/>
  <c r="I46" i="41"/>
  <c r="Z46" i="41"/>
  <c r="AM46" i="41"/>
  <c r="I47" i="41"/>
  <c r="Z47" i="41"/>
  <c r="AM47" i="41"/>
  <c r="I48" i="41"/>
  <c r="Z48" i="41"/>
  <c r="AM48" i="41"/>
  <c r="U49" i="41"/>
  <c r="I50" i="41"/>
  <c r="Z50" i="41"/>
  <c r="AM50" i="41"/>
  <c r="AM51" i="41" s="1"/>
  <c r="U51" i="41"/>
  <c r="I52" i="41"/>
  <c r="Z52" i="41"/>
  <c r="AM52" i="41"/>
  <c r="I53" i="41"/>
  <c r="U55" i="41"/>
  <c r="AN55" i="41"/>
  <c r="AN59" i="41" s="1"/>
  <c r="I58" i="41"/>
  <c r="I60" i="41"/>
  <c r="AO60" i="41"/>
  <c r="AA61" i="41"/>
  <c r="AO61" i="41" s="1"/>
  <c r="I63" i="41"/>
  <c r="K70" i="41"/>
  <c r="AO68" i="41"/>
  <c r="I68" i="41"/>
  <c r="AB69" i="41"/>
  <c r="AP69" i="41" s="1"/>
  <c r="AM69" i="41"/>
  <c r="Z69" i="41"/>
  <c r="AM87" i="41"/>
  <c r="Z87" i="41"/>
  <c r="AB87" i="41"/>
  <c r="AP87" i="41" s="1"/>
  <c r="AA87" i="41"/>
  <c r="AO87" i="41" s="1"/>
  <c r="AA42" i="41"/>
  <c r="AO42" i="41" s="1"/>
  <c r="P43" i="41"/>
  <c r="AA44" i="41"/>
  <c r="AO44" i="41" s="1"/>
  <c r="AA45" i="41"/>
  <c r="AO45" i="41" s="1"/>
  <c r="AA46" i="41"/>
  <c r="AO46" i="41" s="1"/>
  <c r="AA47" i="41"/>
  <c r="AO47" i="41" s="1"/>
  <c r="AA48" i="41"/>
  <c r="AO48" i="41" s="1"/>
  <c r="AA50" i="41"/>
  <c r="AA51" i="41" s="1"/>
  <c r="AA52" i="41"/>
  <c r="AO52" i="41" s="1"/>
  <c r="AM56" i="41"/>
  <c r="Z56" i="41"/>
  <c r="AB56" i="41"/>
  <c r="AP56" i="41" s="1"/>
  <c r="I61" i="41"/>
  <c r="P64" i="41"/>
  <c r="U65" i="41"/>
  <c r="O67" i="41"/>
  <c r="AA66" i="41"/>
  <c r="AO66" i="41" s="1"/>
  <c r="AN70" i="41"/>
  <c r="AB71" i="41"/>
  <c r="AA71" i="41"/>
  <c r="U74" i="41"/>
  <c r="AM71" i="41"/>
  <c r="AM74" i="41" s="1"/>
  <c r="Z71" i="41"/>
  <c r="AM76" i="41"/>
  <c r="Z76" i="41"/>
  <c r="AB76" i="41"/>
  <c r="AP76" i="41" s="1"/>
  <c r="AA76" i="41"/>
  <c r="AP84" i="41"/>
  <c r="AB52" i="41"/>
  <c r="AB54" i="41" s="1"/>
  <c r="O64" i="41"/>
  <c r="AO62" i="41"/>
  <c r="AM63" i="41"/>
  <c r="Z63" i="41"/>
  <c r="AD63" i="41" s="1"/>
  <c r="AF64" i="41"/>
  <c r="AF108" i="41" s="1"/>
  <c r="Y67" i="41"/>
  <c r="AB68" i="41"/>
  <c r="U70" i="41"/>
  <c r="AM68" i="41"/>
  <c r="Z68" i="41"/>
  <c r="AA69" i="41"/>
  <c r="AA70" i="41" s="1"/>
  <c r="Y74" i="41"/>
  <c r="AN71" i="41"/>
  <c r="AN74" i="41" s="1"/>
  <c r="AN78" i="41"/>
  <c r="AM86" i="41"/>
  <c r="Z86" i="41"/>
  <c r="AM93" i="41"/>
  <c r="Z93" i="41"/>
  <c r="AA93" i="41"/>
  <c r="AO93" i="41" s="1"/>
  <c r="AB93" i="41"/>
  <c r="AP93" i="41" s="1"/>
  <c r="I94" i="41"/>
  <c r="K95" i="41"/>
  <c r="L98" i="41"/>
  <c r="AR102" i="41"/>
  <c r="I101" i="41"/>
  <c r="O70" i="41"/>
  <c r="I71" i="41"/>
  <c r="I72" i="41"/>
  <c r="I73" i="41"/>
  <c r="O74" i="41"/>
  <c r="I75" i="41"/>
  <c r="AP75" i="41"/>
  <c r="AK77" i="41"/>
  <c r="I84" i="41"/>
  <c r="AQ88" i="41"/>
  <c r="Z89" i="41"/>
  <c r="I90" i="41"/>
  <c r="AO100" i="41"/>
  <c r="AN76" i="41"/>
  <c r="AN77" i="41" s="1"/>
  <c r="AM79" i="41"/>
  <c r="Z79" i="41"/>
  <c r="AM81" i="41"/>
  <c r="Z81" i="41"/>
  <c r="K121" i="41"/>
  <c r="I82" i="41"/>
  <c r="AK83" i="41"/>
  <c r="AA86" i="41"/>
  <c r="AO86" i="41" s="1"/>
  <c r="AP90" i="41"/>
  <c r="AM91" i="41"/>
  <c r="Z91" i="41"/>
  <c r="U98" i="41"/>
  <c r="I97" i="41"/>
  <c r="K98" i="41"/>
  <c r="I99" i="41"/>
  <c r="K102" i="41"/>
  <c r="AK102" i="41"/>
  <c r="AO71" i="41"/>
  <c r="O77" i="41"/>
  <c r="O88" i="41"/>
  <c r="I86" i="41"/>
  <c r="AB86" i="41"/>
  <c r="AP86" i="41" s="1"/>
  <c r="AK88" i="41"/>
  <c r="AA92" i="41"/>
  <c r="AO92" i="41" s="1"/>
  <c r="AM94" i="41"/>
  <c r="Z94" i="41"/>
  <c r="AA94" i="41"/>
  <c r="AO94" i="41" s="1"/>
  <c r="AA103" i="41"/>
  <c r="U107" i="41"/>
  <c r="AM103" i="41"/>
  <c r="Z103" i="41"/>
  <c r="AB103" i="41"/>
  <c r="AP103" i="41" s="1"/>
  <c r="U77" i="41"/>
  <c r="AM75" i="41"/>
  <c r="Z75" i="41"/>
  <c r="AA79" i="41"/>
  <c r="AO79" i="41" s="1"/>
  <c r="AA81" i="41"/>
  <c r="AO81" i="41" s="1"/>
  <c r="AK121" i="41"/>
  <c r="AR82" i="41"/>
  <c r="AR121" i="41" s="1"/>
  <c r="K83" i="41"/>
  <c r="U88" i="41"/>
  <c r="AM84" i="41"/>
  <c r="Z84" i="41"/>
  <c r="AN88" i="41"/>
  <c r="AN89" i="41"/>
  <c r="AA91" i="41"/>
  <c r="AO91" i="41" s="1"/>
  <c r="AR98" i="41"/>
  <c r="AG111" i="41"/>
  <c r="U78" i="41"/>
  <c r="I79" i="41"/>
  <c r="AB79" i="41"/>
  <c r="AP79" i="41" s="1"/>
  <c r="I81" i="41"/>
  <c r="AB81" i="41"/>
  <c r="AP81" i="41" s="1"/>
  <c r="U82" i="41"/>
  <c r="AA90" i="41"/>
  <c r="AO90" i="41" s="1"/>
  <c r="AN90" i="41"/>
  <c r="I91" i="41"/>
  <c r="AB91" i="41"/>
  <c r="AP91" i="41" s="1"/>
  <c r="AB94" i="41"/>
  <c r="AP94" i="41" s="1"/>
  <c r="AM97" i="41"/>
  <c r="Z97" i="41"/>
  <c r="AA97" i="41"/>
  <c r="AO97" i="41" s="1"/>
  <c r="AK98" i="41"/>
  <c r="U102" i="41"/>
  <c r="AM99" i="41"/>
  <c r="Z99" i="41"/>
  <c r="AA99" i="41"/>
  <c r="L95" i="41"/>
  <c r="AP89" i="41"/>
  <c r="AM90" i="41"/>
  <c r="Z90" i="41"/>
  <c r="I93" i="41"/>
  <c r="I96" i="41"/>
  <c r="AN101" i="41"/>
  <c r="AN119" i="41" s="1"/>
  <c r="I104" i="41"/>
  <c r="AP105" i="41"/>
  <c r="U95" i="41"/>
  <c r="AM92" i="41"/>
  <c r="Z92" i="41"/>
  <c r="AP97" i="41"/>
  <c r="L102" i="41"/>
  <c r="AP99" i="41"/>
  <c r="I100" i="41"/>
  <c r="L107" i="41"/>
  <c r="AA105" i="41"/>
  <c r="AO105" i="41" s="1"/>
  <c r="AA89" i="41"/>
  <c r="AO89" i="41" s="1"/>
  <c r="AB92" i="41"/>
  <c r="AP92" i="41" s="1"/>
  <c r="AM100" i="41"/>
  <c r="Z100" i="41"/>
  <c r="AD100" i="41" s="1"/>
  <c r="Y107" i="41"/>
  <c r="AN103" i="41"/>
  <c r="AN107" i="41" s="1"/>
  <c r="AR103" i="41"/>
  <c r="AR107" i="41" s="1"/>
  <c r="Z104" i="41"/>
  <c r="AM104" i="41"/>
  <c r="Z105" i="41"/>
  <c r="AM105" i="41"/>
  <c r="Z106" i="41"/>
  <c r="AM106" i="41"/>
  <c r="AR20" i="40"/>
  <c r="AP42" i="40"/>
  <c r="U17" i="40"/>
  <c r="AM15" i="40"/>
  <c r="AB15" i="40"/>
  <c r="Z15" i="40"/>
  <c r="AA15" i="40"/>
  <c r="Z16" i="40"/>
  <c r="AB16" i="40"/>
  <c r="AP16" i="40" s="1"/>
  <c r="AA16" i="40"/>
  <c r="AO16" i="40" s="1"/>
  <c r="AM16" i="40"/>
  <c r="AB13" i="40"/>
  <c r="AP13" i="40" s="1"/>
  <c r="AA13" i="40"/>
  <c r="AO13" i="40" s="1"/>
  <c r="AM13" i="40"/>
  <c r="Z13" i="40"/>
  <c r="AR17" i="40"/>
  <c r="AA41" i="40"/>
  <c r="AO41" i="40" s="1"/>
  <c r="AM41" i="40"/>
  <c r="Z41" i="40"/>
  <c r="AN51" i="40"/>
  <c r="AK71" i="40"/>
  <c r="AR67" i="40"/>
  <c r="AR71" i="40" s="1"/>
  <c r="AK87" i="40"/>
  <c r="AR86" i="40"/>
  <c r="AR87" i="40" s="1"/>
  <c r="AB18" i="40"/>
  <c r="AO18" i="40"/>
  <c r="AB19" i="40"/>
  <c r="AP19" i="40" s="1"/>
  <c r="AO19" i="40"/>
  <c r="K20" i="40"/>
  <c r="L22" i="40"/>
  <c r="O135" i="40"/>
  <c r="AP24" i="40"/>
  <c r="AR26" i="40"/>
  <c r="Y141" i="40"/>
  <c r="AM27" i="40"/>
  <c r="AA31" i="40"/>
  <c r="AO31" i="40" s="1"/>
  <c r="I34" i="40"/>
  <c r="Z34" i="40"/>
  <c r="AB36" i="40"/>
  <c r="AP36" i="40" s="1"/>
  <c r="I37" i="40"/>
  <c r="Z37" i="40"/>
  <c r="AK142" i="40"/>
  <c r="AR45" i="40"/>
  <c r="Y137" i="40"/>
  <c r="AA49" i="40"/>
  <c r="AO49" i="40" s="1"/>
  <c r="I50" i="40"/>
  <c r="AO50" i="40"/>
  <c r="AP53" i="40"/>
  <c r="I55" i="40"/>
  <c r="I58" i="40"/>
  <c r="AB60" i="40"/>
  <c r="AP60" i="40" s="1"/>
  <c r="AM60" i="40"/>
  <c r="Z60" i="40"/>
  <c r="I63" i="40"/>
  <c r="U64" i="40"/>
  <c r="O66" i="40"/>
  <c r="U65" i="40"/>
  <c r="U66" i="40" s="1"/>
  <c r="I74" i="40"/>
  <c r="Z81" i="40"/>
  <c r="Y129" i="40"/>
  <c r="AA127" i="40"/>
  <c r="AO127" i="40" s="1"/>
  <c r="AN127" i="40"/>
  <c r="AN129" i="40" s="1"/>
  <c r="I17" i="40"/>
  <c r="AA40" i="40"/>
  <c r="AO40" i="40" s="1"/>
  <c r="AM40" i="40"/>
  <c r="Z40" i="40"/>
  <c r="AA43" i="40"/>
  <c r="AO43" i="40" s="1"/>
  <c r="AM43" i="40"/>
  <c r="Z43" i="40"/>
  <c r="L56" i="40"/>
  <c r="I59" i="40"/>
  <c r="AA62" i="40"/>
  <c r="AM62" i="40"/>
  <c r="Z62" i="40"/>
  <c r="AB68" i="40"/>
  <c r="AP68" i="40" s="1"/>
  <c r="AA68" i="40"/>
  <c r="AO68" i="40" s="1"/>
  <c r="AM68" i="40"/>
  <c r="Z68" i="40"/>
  <c r="I89" i="40"/>
  <c r="AA116" i="40"/>
  <c r="AO116" i="40" s="1"/>
  <c r="AM116" i="40"/>
  <c r="Z116" i="40"/>
  <c r="AB116" i="40"/>
  <c r="AP116" i="40" s="1"/>
  <c r="K134" i="40"/>
  <c r="AN12" i="40"/>
  <c r="AK20" i="40"/>
  <c r="AK143" i="40"/>
  <c r="Y22" i="40"/>
  <c r="AK22" i="40"/>
  <c r="AQ22" i="40"/>
  <c r="AK135" i="40"/>
  <c r="AK28" i="40"/>
  <c r="AQ135" i="40"/>
  <c r="AQ28" i="40"/>
  <c r="I27" i="40"/>
  <c r="Z27" i="40"/>
  <c r="AN141" i="40"/>
  <c r="K136" i="40"/>
  <c r="K33" i="40"/>
  <c r="AA34" i="40"/>
  <c r="AQ38" i="40"/>
  <c r="AA37" i="40"/>
  <c r="AO37" i="40" s="1"/>
  <c r="U38" i="40"/>
  <c r="I39" i="40"/>
  <c r="AB40" i="40"/>
  <c r="AP40" i="40" s="1"/>
  <c r="AB41" i="40"/>
  <c r="AP41" i="40" s="1"/>
  <c r="AB43" i="40"/>
  <c r="AP43" i="40" s="1"/>
  <c r="Y51" i="40"/>
  <c r="AR51" i="40"/>
  <c r="I49" i="40"/>
  <c r="K61" i="40"/>
  <c r="I57" i="40"/>
  <c r="AB59" i="40"/>
  <c r="AP59" i="40" s="1"/>
  <c r="AM59" i="40"/>
  <c r="Z59" i="40"/>
  <c r="AB62" i="40"/>
  <c r="AP63" i="40"/>
  <c r="P66" i="40"/>
  <c r="AQ71" i="40"/>
  <c r="AB69" i="40"/>
  <c r="AP69" i="40" s="1"/>
  <c r="AA69" i="40"/>
  <c r="AO69" i="40" s="1"/>
  <c r="AM69" i="40"/>
  <c r="Z69" i="40"/>
  <c r="AM82" i="40"/>
  <c r="Z82" i="40"/>
  <c r="U85" i="40"/>
  <c r="AB82" i="40"/>
  <c r="AA82" i="40"/>
  <c r="AB90" i="40"/>
  <c r="U91" i="40"/>
  <c r="O93" i="40"/>
  <c r="AB96" i="40"/>
  <c r="AP96" i="40" s="1"/>
  <c r="AM96" i="40"/>
  <c r="AA96" i="40"/>
  <c r="AO96" i="40" s="1"/>
  <c r="Z96" i="40"/>
  <c r="L138" i="40"/>
  <c r="L134" i="40"/>
  <c r="AR22" i="40"/>
  <c r="AO27" i="40"/>
  <c r="Y28" i="40"/>
  <c r="AR33" i="40"/>
  <c r="L38" i="40"/>
  <c r="AP34" i="40"/>
  <c r="I35" i="40"/>
  <c r="AM36" i="40"/>
  <c r="AM38" i="40" s="1"/>
  <c r="K137" i="40"/>
  <c r="I48" i="40"/>
  <c r="AO48" i="40"/>
  <c r="AO53" i="40"/>
  <c r="AB58" i="40"/>
  <c r="AP58" i="40" s="1"/>
  <c r="AM58" i="40"/>
  <c r="Z58" i="40"/>
  <c r="AB72" i="40"/>
  <c r="AA72" i="40"/>
  <c r="U74" i="40"/>
  <c r="AM72" i="40"/>
  <c r="Z72" i="40"/>
  <c r="I80" i="40"/>
  <c r="K81" i="40"/>
  <c r="AB83" i="40"/>
  <c r="AP83" i="40" s="1"/>
  <c r="AA83" i="40"/>
  <c r="AO83" i="40" s="1"/>
  <c r="Z83" i="40"/>
  <c r="AM83" i="40"/>
  <c r="L90" i="40"/>
  <c r="AP88" i="40"/>
  <c r="I88" i="40"/>
  <c r="I99" i="40"/>
  <c r="L135" i="40"/>
  <c r="L28" i="40"/>
  <c r="O134" i="40"/>
  <c r="L14" i="40"/>
  <c r="I21" i="40"/>
  <c r="Z21" i="40"/>
  <c r="I23" i="40"/>
  <c r="Z23" i="40"/>
  <c r="Z24" i="40"/>
  <c r="Z25" i="40"/>
  <c r="I26" i="40"/>
  <c r="AN26" i="40"/>
  <c r="AN138" i="40" s="1"/>
  <c r="L141" i="40"/>
  <c r="AB27" i="40"/>
  <c r="O136" i="40"/>
  <c r="U29" i="40"/>
  <c r="AN33" i="40"/>
  <c r="AK38" i="40"/>
  <c r="AR34" i="40"/>
  <c r="AR38" i="40" s="1"/>
  <c r="U39" i="40"/>
  <c r="O44" i="40"/>
  <c r="AQ142" i="40"/>
  <c r="AQ46" i="40"/>
  <c r="I47" i="40"/>
  <c r="K51" i="40"/>
  <c r="I52" i="40"/>
  <c r="O61" i="40"/>
  <c r="U57" i="40"/>
  <c r="AP62" i="40"/>
  <c r="AN66" i="40"/>
  <c r="AA63" i="40"/>
  <c r="AO63" i="40" s="1"/>
  <c r="AM63" i="40"/>
  <c r="Z63" i="40"/>
  <c r="AB67" i="40"/>
  <c r="AP67" i="40" s="1"/>
  <c r="AA67" i="40"/>
  <c r="U71" i="40"/>
  <c r="AM67" i="40"/>
  <c r="Z67" i="40"/>
  <c r="AB70" i="40"/>
  <c r="AP70" i="40" s="1"/>
  <c r="AA70" i="40"/>
  <c r="AO70" i="40" s="1"/>
  <c r="AM70" i="40"/>
  <c r="Z70" i="40"/>
  <c r="Y74" i="40"/>
  <c r="AN72" i="40"/>
  <c r="AN74" i="40" s="1"/>
  <c r="I75" i="40"/>
  <c r="K78" i="40"/>
  <c r="AB77" i="40"/>
  <c r="AP77" i="40" s="1"/>
  <c r="AA77" i="40"/>
  <c r="AO77" i="40" s="1"/>
  <c r="AM77" i="40"/>
  <c r="Z77" i="40"/>
  <c r="AA42" i="40"/>
  <c r="AO42" i="40" s="1"/>
  <c r="AM42" i="40"/>
  <c r="Z42" i="40"/>
  <c r="U12" i="40"/>
  <c r="AK134" i="40"/>
  <c r="AQ134" i="40"/>
  <c r="Y14" i="40"/>
  <c r="Z18" i="40"/>
  <c r="AM18" i="40"/>
  <c r="AM20" i="40" s="1"/>
  <c r="Z19" i="40"/>
  <c r="AA21" i="40"/>
  <c r="AN21" i="40"/>
  <c r="K135" i="40"/>
  <c r="AA23" i="40"/>
  <c r="AN23" i="40"/>
  <c r="AA24" i="40"/>
  <c r="AO24" i="40" s="1"/>
  <c r="AA25" i="40"/>
  <c r="AO25" i="40" s="1"/>
  <c r="AK141" i="40"/>
  <c r="AR27" i="40"/>
  <c r="AR141" i="40" s="1"/>
  <c r="Y136" i="40"/>
  <c r="Y33" i="40"/>
  <c r="AM31" i="40"/>
  <c r="AO32" i="40"/>
  <c r="I36" i="40"/>
  <c r="AN39" i="40"/>
  <c r="AN44" i="40" s="1"/>
  <c r="I46" i="40"/>
  <c r="AD53" i="40"/>
  <c r="AL53" i="40" s="1"/>
  <c r="AA58" i="40"/>
  <c r="AO58" i="40" s="1"/>
  <c r="AO60" i="40"/>
  <c r="I60" i="40"/>
  <c r="I65" i="40"/>
  <c r="L66" i="40"/>
  <c r="AK66" i="40"/>
  <c r="AB73" i="40"/>
  <c r="AP73" i="40" s="1"/>
  <c r="AA73" i="40"/>
  <c r="AO73" i="40" s="1"/>
  <c r="AM73" i="40"/>
  <c r="Z73" i="40"/>
  <c r="AB76" i="40"/>
  <c r="AP76" i="40" s="1"/>
  <c r="AA76" i="40"/>
  <c r="AM76" i="40"/>
  <c r="Z76" i="40"/>
  <c r="AP84" i="40"/>
  <c r="O141" i="40"/>
  <c r="K142" i="40"/>
  <c r="AN45" i="40"/>
  <c r="AB47" i="40"/>
  <c r="L137" i="40"/>
  <c r="AB49" i="40"/>
  <c r="AP49" i="40" s="1"/>
  <c r="AB50" i="40"/>
  <c r="AP50" i="40" s="1"/>
  <c r="O74" i="40"/>
  <c r="AB75" i="40"/>
  <c r="P135" i="40"/>
  <c r="P133" i="40" s="1"/>
  <c r="P85" i="40"/>
  <c r="P130" i="40" s="1"/>
  <c r="I20" i="47" s="1"/>
  <c r="AB86" i="40"/>
  <c r="AD86" i="40" s="1"/>
  <c r="AM86" i="40"/>
  <c r="AM87" i="40" s="1"/>
  <c r="AP89" i="40"/>
  <c r="Y93" i="40"/>
  <c r="AN91" i="40"/>
  <c r="AN93" i="40" s="1"/>
  <c r="AM92" i="40"/>
  <c r="Y98" i="40"/>
  <c r="Y104" i="40"/>
  <c r="AN102" i="40"/>
  <c r="I103" i="40"/>
  <c r="AB105" i="40"/>
  <c r="AP105" i="40" s="1"/>
  <c r="Z105" i="40"/>
  <c r="AQ109" i="40"/>
  <c r="I108" i="40"/>
  <c r="O137" i="40"/>
  <c r="Y56" i="40"/>
  <c r="I62" i="40"/>
  <c r="I64" i="40"/>
  <c r="U78" i="40"/>
  <c r="I79" i="40"/>
  <c r="O81" i="40"/>
  <c r="U81" i="40"/>
  <c r="AP82" i="40"/>
  <c r="Z87" i="40"/>
  <c r="Y90" i="40"/>
  <c r="AR98" i="40"/>
  <c r="AB95" i="40"/>
  <c r="AP95" i="40" s="1"/>
  <c r="Z95" i="40"/>
  <c r="AM95" i="40"/>
  <c r="AM108" i="40"/>
  <c r="U137" i="40"/>
  <c r="AK137" i="40"/>
  <c r="AQ137" i="40"/>
  <c r="AR75" i="40"/>
  <c r="AR78" i="40" s="1"/>
  <c r="AK78" i="40"/>
  <c r="I76" i="40"/>
  <c r="I77" i="40"/>
  <c r="AP79" i="40"/>
  <c r="I82" i="40"/>
  <c r="AQ85" i="40"/>
  <c r="K85" i="40"/>
  <c r="AN88" i="40"/>
  <c r="AN90" i="40" s="1"/>
  <c r="Z89" i="40"/>
  <c r="AM89" i="40"/>
  <c r="AP106" i="40"/>
  <c r="I106" i="40"/>
  <c r="AC130" i="40"/>
  <c r="V20" i="47" s="1"/>
  <c r="K129" i="40"/>
  <c r="I127" i="40"/>
  <c r="AA84" i="40"/>
  <c r="AO84" i="40" s="1"/>
  <c r="AM84" i="40"/>
  <c r="I87" i="40"/>
  <c r="L98" i="40"/>
  <c r="I94" i="40"/>
  <c r="AB97" i="40"/>
  <c r="AP97" i="40" s="1"/>
  <c r="AA97" i="40"/>
  <c r="AO97" i="40" s="1"/>
  <c r="Z97" i="40"/>
  <c r="K104" i="40"/>
  <c r="I102" i="40"/>
  <c r="AA103" i="40"/>
  <c r="AO103" i="40" s="1"/>
  <c r="AN103" i="40"/>
  <c r="Z103" i="40"/>
  <c r="I105" i="40"/>
  <c r="AB108" i="40"/>
  <c r="AP108" i="40" s="1"/>
  <c r="Z108" i="40"/>
  <c r="I115" i="40"/>
  <c r="L119" i="40"/>
  <c r="AA118" i="40"/>
  <c r="AO118" i="40" s="1"/>
  <c r="AM118" i="40"/>
  <c r="Z118" i="40"/>
  <c r="AB118" i="40"/>
  <c r="AK126" i="40"/>
  <c r="AR123" i="40"/>
  <c r="AR126" i="40" s="1"/>
  <c r="AI130" i="40"/>
  <c r="AB20" i="47" s="1"/>
  <c r="Z47" i="40"/>
  <c r="AM47" i="40"/>
  <c r="Z48" i="40"/>
  <c r="AM48" i="40"/>
  <c r="Z49" i="40"/>
  <c r="Z50" i="40"/>
  <c r="AD50" i="40" s="1"/>
  <c r="AR81" i="40"/>
  <c r="O85" i="40"/>
  <c r="AK85" i="40"/>
  <c r="AR82" i="40"/>
  <c r="AR85" i="40" s="1"/>
  <c r="K87" i="40"/>
  <c r="AO86" i="40"/>
  <c r="AO87" i="40" s="1"/>
  <c r="K90" i="40"/>
  <c r="AQ90" i="40"/>
  <c r="AA89" i="40"/>
  <c r="AO89" i="40" s="1"/>
  <c r="L93" i="40"/>
  <c r="I91" i="40"/>
  <c r="AA94" i="40"/>
  <c r="U98" i="40"/>
  <c r="Z94" i="40"/>
  <c r="AP94" i="40"/>
  <c r="AP112" i="40"/>
  <c r="L114" i="40"/>
  <c r="AK90" i="40"/>
  <c r="AR88" i="40"/>
  <c r="AR90" i="40" s="1"/>
  <c r="O98" i="40"/>
  <c r="L101" i="40"/>
  <c r="AQ101" i="40"/>
  <c r="Z102" i="40"/>
  <c r="O104" i="40"/>
  <c r="U104" i="40"/>
  <c r="AB104" i="40"/>
  <c r="AN109" i="40"/>
  <c r="AA107" i="40"/>
  <c r="AO107" i="40" s="1"/>
  <c r="AM111" i="40"/>
  <c r="Z111" i="40"/>
  <c r="AD111" i="40" s="1"/>
  <c r="AM113" i="40"/>
  <c r="Z113" i="40"/>
  <c r="AB113" i="40"/>
  <c r="AP113" i="40" s="1"/>
  <c r="AO113" i="40"/>
  <c r="O119" i="40"/>
  <c r="U115" i="40"/>
  <c r="I118" i="40"/>
  <c r="AP118" i="40"/>
  <c r="W130" i="40"/>
  <c r="P20" i="47" s="1"/>
  <c r="AQ126" i="40"/>
  <c r="AG130" i="40"/>
  <c r="Z20" i="47" s="1"/>
  <c r="K98" i="40"/>
  <c r="AK101" i="40"/>
  <c r="AR99" i="40"/>
  <c r="AR101" i="40" s="1"/>
  <c r="AA102" i="40"/>
  <c r="AO102" i="40" s="1"/>
  <c r="AB107" i="40"/>
  <c r="AP107" i="40" s="1"/>
  <c r="AN119" i="40"/>
  <c r="AA117" i="40"/>
  <c r="AO117" i="40" s="1"/>
  <c r="AM117" i="40"/>
  <c r="Z117" i="40"/>
  <c r="AB117" i="40"/>
  <c r="Q130" i="40"/>
  <c r="J20" i="47" s="1"/>
  <c r="O122" i="40"/>
  <c r="U120" i="40"/>
  <c r="AK98" i="40"/>
  <c r="Y101" i="40"/>
  <c r="L109" i="40"/>
  <c r="Y114" i="40"/>
  <c r="AN110" i="40"/>
  <c r="AR115" i="40"/>
  <c r="AR119" i="40" s="1"/>
  <c r="AK119" i="40"/>
  <c r="AB123" i="40"/>
  <c r="AP123" i="40" s="1"/>
  <c r="AA123" i="40"/>
  <c r="Z123" i="40"/>
  <c r="AM123" i="40"/>
  <c r="AB128" i="40"/>
  <c r="AP128" i="40" s="1"/>
  <c r="AM128" i="40"/>
  <c r="Z128" i="40"/>
  <c r="AA128" i="40"/>
  <c r="AO128" i="40" s="1"/>
  <c r="AJ130" i="40"/>
  <c r="AC20" i="47" s="1"/>
  <c r="AK109" i="40"/>
  <c r="AR105" i="40"/>
  <c r="AR109" i="40" s="1"/>
  <c r="I111" i="40"/>
  <c r="AO111" i="40"/>
  <c r="AB121" i="40"/>
  <c r="AP121" i="40" s="1"/>
  <c r="AA121" i="40"/>
  <c r="AO121" i="40" s="1"/>
  <c r="AM121" i="40"/>
  <c r="Z121" i="40"/>
  <c r="AG133" i="40"/>
  <c r="AM112" i="40"/>
  <c r="Z112" i="40"/>
  <c r="AD112" i="40" s="1"/>
  <c r="I117" i="40"/>
  <c r="AP117" i="40"/>
  <c r="AN120" i="40"/>
  <c r="AN122" i="40" s="1"/>
  <c r="Y122" i="40"/>
  <c r="AB124" i="40"/>
  <c r="AP124" i="40" s="1"/>
  <c r="AA124" i="40"/>
  <c r="AO124" i="40" s="1"/>
  <c r="AQ131" i="40"/>
  <c r="S130" i="40"/>
  <c r="L20" i="47" s="1"/>
  <c r="X130" i="40"/>
  <c r="Q20" i="47" s="1"/>
  <c r="AH130" i="40"/>
  <c r="AA20" i="47" s="1"/>
  <c r="AB127" i="40"/>
  <c r="AP127" i="40" s="1"/>
  <c r="U129" i="40"/>
  <c r="AM127" i="40"/>
  <c r="Z127" i="40"/>
  <c r="J130" i="40"/>
  <c r="C20" i="47" s="1"/>
  <c r="R130" i="40"/>
  <c r="K20" i="47" s="1"/>
  <c r="I128" i="40"/>
  <c r="N130" i="40"/>
  <c r="G20" i="47" s="1"/>
  <c r="T130" i="40"/>
  <c r="M20" i="47" s="1"/>
  <c r="O114" i="40"/>
  <c r="U110" i="40"/>
  <c r="I112" i="40"/>
  <c r="AB125" i="40"/>
  <c r="AP125" i="40" s="1"/>
  <c r="AA125" i="40"/>
  <c r="AO125" i="40" s="1"/>
  <c r="I126" i="40"/>
  <c r="V130" i="40"/>
  <c r="O20" i="47" s="1"/>
  <c r="AF130" i="40"/>
  <c r="I120" i="40"/>
  <c r="I121" i="40"/>
  <c r="AB19" i="39"/>
  <c r="AP19" i="39" s="1"/>
  <c r="AA19" i="39"/>
  <c r="AA21" i="39" s="1"/>
  <c r="Z19" i="39"/>
  <c r="AM19" i="39"/>
  <c r="AR30" i="39"/>
  <c r="AB28" i="39"/>
  <c r="AP28" i="39" s="1"/>
  <c r="AA28" i="39"/>
  <c r="AO28" i="39" s="1"/>
  <c r="Z28" i="39"/>
  <c r="AM28" i="39"/>
  <c r="AO33" i="39"/>
  <c r="AB26" i="39"/>
  <c r="U30" i="39"/>
  <c r="AA26" i="39"/>
  <c r="AO26" i="39" s="1"/>
  <c r="Z26" i="39"/>
  <c r="AM26" i="39"/>
  <c r="AB29" i="39"/>
  <c r="AP29" i="39" s="1"/>
  <c r="AA29" i="39"/>
  <c r="AO29" i="39" s="1"/>
  <c r="Z29" i="39"/>
  <c r="AM29" i="39"/>
  <c r="AK25" i="39"/>
  <c r="Y49" i="39"/>
  <c r="AN48" i="39"/>
  <c r="AN49" i="39" s="1"/>
  <c r="AA70" i="39"/>
  <c r="Z70" i="39"/>
  <c r="AM70" i="39"/>
  <c r="U79" i="39"/>
  <c r="Z75" i="39"/>
  <c r="AB75" i="39"/>
  <c r="AM75" i="39"/>
  <c r="AA75" i="39"/>
  <c r="Z12" i="39"/>
  <c r="AN12" i="39"/>
  <c r="AN26" i="39"/>
  <c r="AN30" i="39" s="1"/>
  <c r="AK30" i="39"/>
  <c r="AM34" i="39"/>
  <c r="Y42" i="39"/>
  <c r="AN40" i="39"/>
  <c r="AN42" i="39" s="1"/>
  <c r="AB44" i="39"/>
  <c r="AP44" i="39" s="1"/>
  <c r="AA44" i="39"/>
  <c r="AO44" i="39" s="1"/>
  <c r="AN69" i="39"/>
  <c r="AK74" i="39"/>
  <c r="AM82" i="39"/>
  <c r="AA82" i="39"/>
  <c r="AO82" i="39" s="1"/>
  <c r="Z82" i="39"/>
  <c r="AB82" i="39"/>
  <c r="AP82" i="39" s="1"/>
  <c r="I83" i="39"/>
  <c r="AO83" i="39"/>
  <c r="O109" i="39"/>
  <c r="U109" i="39"/>
  <c r="AB20" i="39"/>
  <c r="AR22" i="39"/>
  <c r="AA40" i="39"/>
  <c r="U42" i="39"/>
  <c r="AM40" i="39"/>
  <c r="Z40" i="39"/>
  <c r="Y17" i="39"/>
  <c r="K102" i="39"/>
  <c r="K21" i="39"/>
  <c r="Y108" i="39"/>
  <c r="AM20" i="39"/>
  <c r="K109" i="39"/>
  <c r="K37" i="39"/>
  <c r="AO36" i="39"/>
  <c r="AA37" i="39"/>
  <c r="O54" i="39"/>
  <c r="U50" i="39"/>
  <c r="AA12" i="39"/>
  <c r="AO12" i="39" s="1"/>
  <c r="Y13" i="39"/>
  <c r="AN14" i="39"/>
  <c r="AP15" i="39"/>
  <c r="P101" i="39"/>
  <c r="P17" i="39"/>
  <c r="AF100" i="39"/>
  <c r="AK99" i="39" s="1"/>
  <c r="AQ102" i="39"/>
  <c r="Z20" i="39"/>
  <c r="AN20" i="39"/>
  <c r="AN108" i="39" s="1"/>
  <c r="Y104" i="39"/>
  <c r="AM22" i="39"/>
  <c r="Z23" i="39"/>
  <c r="AM23" i="39"/>
  <c r="Y25" i="39"/>
  <c r="K30" i="39"/>
  <c r="I31" i="39"/>
  <c r="Z31" i="39"/>
  <c r="AN31" i="39"/>
  <c r="AB32" i="39"/>
  <c r="I34" i="39"/>
  <c r="Z34" i="39"/>
  <c r="AR109" i="39"/>
  <c r="AR37" i="39"/>
  <c r="O37" i="39"/>
  <c r="U37" i="39"/>
  <c r="K39" i="39"/>
  <c r="I38" i="39"/>
  <c r="I110" i="39" s="1"/>
  <c r="AK39" i="39"/>
  <c r="AR38" i="39"/>
  <c r="AR39" i="39" s="1"/>
  <c r="AB40" i="39"/>
  <c r="AB42" i="39" s="1"/>
  <c r="I41" i="39"/>
  <c r="I42" i="39" s="1"/>
  <c r="U43" i="39"/>
  <c r="U102" i="39" s="1"/>
  <c r="O47" i="39"/>
  <c r="K47" i="39"/>
  <c r="AO46" i="39"/>
  <c r="I46" i="39"/>
  <c r="I47" i="39" s="1"/>
  <c r="AM53" i="39"/>
  <c r="AB53" i="39"/>
  <c r="AP53" i="39" s="1"/>
  <c r="AA53" i="39"/>
  <c r="AM56" i="39"/>
  <c r="Z56" i="39"/>
  <c r="AD56" i="39" s="1"/>
  <c r="AL56" i="39" s="1"/>
  <c r="AB56" i="39"/>
  <c r="AP56" i="39" s="1"/>
  <c r="O59" i="39"/>
  <c r="Z61" i="39"/>
  <c r="AM61" i="39"/>
  <c r="AB61" i="39"/>
  <c r="AP61" i="39" s="1"/>
  <c r="L69" i="39"/>
  <c r="AM67" i="39"/>
  <c r="Z67" i="39"/>
  <c r="AD67" i="39" s="1"/>
  <c r="AB67" i="39"/>
  <c r="AP67" i="39" s="1"/>
  <c r="AA67" i="39"/>
  <c r="AO67" i="39" s="1"/>
  <c r="AB70" i="39"/>
  <c r="AM45" i="39"/>
  <c r="AA45" i="39"/>
  <c r="AO45" i="39" s="1"/>
  <c r="Z45" i="39"/>
  <c r="AD45" i="39" s="1"/>
  <c r="AL45" i="39" s="1"/>
  <c r="L110" i="39"/>
  <c r="L13" i="39"/>
  <c r="AB12" i="39"/>
  <c r="AP12" i="39" s="1"/>
  <c r="K101" i="39"/>
  <c r="AA14" i="39"/>
  <c r="AO14" i="39" s="1"/>
  <c r="O102" i="39"/>
  <c r="AR18" i="39"/>
  <c r="K108" i="39"/>
  <c r="AA20" i="39"/>
  <c r="Z22" i="39"/>
  <c r="AN104" i="39"/>
  <c r="AA23" i="39"/>
  <c r="AO23" i="39" s="1"/>
  <c r="AN25" i="39"/>
  <c r="K103" i="39"/>
  <c r="AA34" i="39"/>
  <c r="AO34" i="39" s="1"/>
  <c r="Y35" i="39"/>
  <c r="AB109" i="39"/>
  <c r="AP41" i="39"/>
  <c r="AN47" i="39"/>
  <c r="AQ47" i="39"/>
  <c r="Z44" i="39"/>
  <c r="AD44" i="39" s="1"/>
  <c r="AL44" i="39" s="1"/>
  <c r="AB45" i="39"/>
  <c r="AP46" i="39"/>
  <c r="I48" i="39"/>
  <c r="I109" i="39" s="1"/>
  <c r="AO52" i="39"/>
  <c r="AO55" i="39"/>
  <c r="O64" i="39"/>
  <c r="AA63" i="39"/>
  <c r="AO63" i="39" s="1"/>
  <c r="Z63" i="39"/>
  <c r="AR74" i="39"/>
  <c r="I75" i="39"/>
  <c r="K79" i="39"/>
  <c r="I77" i="39"/>
  <c r="AN102" i="39"/>
  <c r="AP37" i="39"/>
  <c r="AP72" i="39"/>
  <c r="I72" i="39"/>
  <c r="I74" i="39" s="1"/>
  <c r="AR12" i="39"/>
  <c r="U13" i="39"/>
  <c r="L101" i="39"/>
  <c r="AB14" i="39"/>
  <c r="AQ17" i="39"/>
  <c r="AB18" i="39"/>
  <c r="AD18" i="39" s="1"/>
  <c r="AA22" i="39"/>
  <c r="AO22" i="39" s="1"/>
  <c r="AM27" i="39"/>
  <c r="O30" i="39"/>
  <c r="L103" i="39"/>
  <c r="L35" i="39"/>
  <c r="AQ103" i="39"/>
  <c r="AQ35" i="39"/>
  <c r="I33" i="39"/>
  <c r="Z33" i="39"/>
  <c r="AD33" i="39" s="1"/>
  <c r="AN33" i="39"/>
  <c r="AP34" i="39"/>
  <c r="Y109" i="39"/>
  <c r="Y37" i="39"/>
  <c r="AM37" i="39"/>
  <c r="AA41" i="39"/>
  <c r="AO41" i="39" s="1"/>
  <c r="AM41" i="39"/>
  <c r="Z41" i="39"/>
  <c r="AD41" i="39" s="1"/>
  <c r="L49" i="39"/>
  <c r="AP48" i="39"/>
  <c r="AP49" i="39" s="1"/>
  <c r="AB52" i="39"/>
  <c r="AP52" i="39" s="1"/>
  <c r="Z52" i="39"/>
  <c r="AM52" i="39"/>
  <c r="K54" i="39"/>
  <c r="AP57" i="39"/>
  <c r="L74" i="39"/>
  <c r="U71" i="39"/>
  <c r="U104" i="39" s="1"/>
  <c r="O74" i="39"/>
  <c r="AA89" i="39"/>
  <c r="AO85" i="39"/>
  <c r="AO89" i="39" s="1"/>
  <c r="I21" i="39"/>
  <c r="AB62" i="39"/>
  <c r="AA62" i="39"/>
  <c r="AO62" i="39" s="1"/>
  <c r="AM62" i="39"/>
  <c r="I13" i="39"/>
  <c r="AR14" i="39"/>
  <c r="AK17" i="39"/>
  <c r="Y102" i="39"/>
  <c r="AM18" i="39"/>
  <c r="AR20" i="39"/>
  <c r="AR108" i="39" s="1"/>
  <c r="O21" i="39"/>
  <c r="U21" i="39"/>
  <c r="AN21" i="39"/>
  <c r="L104" i="39"/>
  <c r="AB22" i="39"/>
  <c r="AQ104" i="39"/>
  <c r="P104" i="39"/>
  <c r="P25" i="39"/>
  <c r="U24" i="39"/>
  <c r="U25" i="39" s="1"/>
  <c r="AQ25" i="39"/>
  <c r="I27" i="39"/>
  <c r="Z27" i="39"/>
  <c r="AD27" i="39" s="1"/>
  <c r="AK103" i="39"/>
  <c r="AK35" i="39"/>
  <c r="AR31" i="39"/>
  <c r="Z36" i="39"/>
  <c r="AN36" i="39"/>
  <c r="L42" i="39"/>
  <c r="AP45" i="39"/>
  <c r="AB46" i="39"/>
  <c r="AM46" i="39"/>
  <c r="Z46" i="39"/>
  <c r="AD46" i="39" s="1"/>
  <c r="AA48" i="39"/>
  <c r="AA109" i="39" s="1"/>
  <c r="U49" i="39"/>
  <c r="AM48" i="39"/>
  <c r="AM49" i="39" s="1"/>
  <c r="Z48" i="39"/>
  <c r="AP51" i="39"/>
  <c r="AM55" i="39"/>
  <c r="Z55" i="39"/>
  <c r="AB55" i="39"/>
  <c r="AB59" i="39" s="1"/>
  <c r="AA57" i="39"/>
  <c r="AO57" i="39" s="1"/>
  <c r="AM57" i="39"/>
  <c r="Z57" i="39"/>
  <c r="AB63" i="39"/>
  <c r="AP63" i="39" s="1"/>
  <c r="AN74" i="39"/>
  <c r="AA73" i="39"/>
  <c r="AO73" i="39" s="1"/>
  <c r="AM73" i="39"/>
  <c r="AB73" i="39"/>
  <c r="AP73" i="39" s="1"/>
  <c r="Y74" i="39"/>
  <c r="O110" i="39"/>
  <c r="O101" i="39"/>
  <c r="L102" i="39"/>
  <c r="L108" i="39"/>
  <c r="O104" i="39"/>
  <c r="AK109" i="39"/>
  <c r="AQ109" i="39"/>
  <c r="O42" i="39"/>
  <c r="O49" i="39"/>
  <c r="L54" i="39"/>
  <c r="I55" i="39"/>
  <c r="I57" i="39"/>
  <c r="I58" i="39"/>
  <c r="I60" i="39"/>
  <c r="I63" i="39"/>
  <c r="K64" i="39"/>
  <c r="AK64" i="39"/>
  <c r="AK69" i="39"/>
  <c r="N97" i="39"/>
  <c r="G19" i="47" s="1"/>
  <c r="Y79" i="39"/>
  <c r="AN75" i="39"/>
  <c r="AN79" i="39" s="1"/>
  <c r="AQ79" i="39"/>
  <c r="AO58" i="39"/>
  <c r="I65" i="39"/>
  <c r="AM66" i="39"/>
  <c r="Z66" i="39"/>
  <c r="I67" i="39"/>
  <c r="AM68" i="39"/>
  <c r="Z68" i="39"/>
  <c r="AA72" i="39"/>
  <c r="AO72" i="39" s="1"/>
  <c r="AM72" i="39"/>
  <c r="AA77" i="39"/>
  <c r="AO77" i="39" s="1"/>
  <c r="AM77" i="39"/>
  <c r="Z77" i="39"/>
  <c r="AB77" i="39"/>
  <c r="AP77" i="39" s="1"/>
  <c r="I78" i="39"/>
  <c r="AP78" i="39"/>
  <c r="S97" i="39"/>
  <c r="L19" i="47" s="1"/>
  <c r="AC97" i="39"/>
  <c r="V19" i="47" s="1"/>
  <c r="Z51" i="39"/>
  <c r="AA66" i="39"/>
  <c r="AO66" i="39" s="1"/>
  <c r="AA68" i="39"/>
  <c r="AO68" i="39" s="1"/>
  <c r="Z72" i="39"/>
  <c r="AR75" i="39"/>
  <c r="AR79" i="39" s="1"/>
  <c r="AK79" i="39"/>
  <c r="L109" i="39"/>
  <c r="AR43" i="39"/>
  <c r="AR47" i="39" s="1"/>
  <c r="Y59" i="39"/>
  <c r="AN55" i="39"/>
  <c r="AN59" i="39" s="1"/>
  <c r="AF59" i="39"/>
  <c r="AF97" i="39" s="1"/>
  <c r="AK57" i="39"/>
  <c r="AR57" i="39" s="1"/>
  <c r="AR59" i="39" s="1"/>
  <c r="U60" i="39"/>
  <c r="U65" i="39"/>
  <c r="I66" i="39"/>
  <c r="AB66" i="39"/>
  <c r="AP66" i="39" s="1"/>
  <c r="I68" i="39"/>
  <c r="AB68" i="39"/>
  <c r="AP68" i="39" s="1"/>
  <c r="AB72" i="39"/>
  <c r="AA76" i="39"/>
  <c r="AO76" i="39" s="1"/>
  <c r="AB76" i="39"/>
  <c r="AP76" i="39" s="1"/>
  <c r="AM76" i="39"/>
  <c r="O84" i="39"/>
  <c r="U80" i="39"/>
  <c r="AB93" i="39"/>
  <c r="AA93" i="39"/>
  <c r="U96" i="39"/>
  <c r="AM93" i="39"/>
  <c r="Z93" i="39"/>
  <c r="W97" i="39"/>
  <c r="P19" i="47" s="1"/>
  <c r="AH97" i="39"/>
  <c r="AA19" i="47" s="1"/>
  <c r="L79" i="39"/>
  <c r="AP75" i="39"/>
  <c r="I85" i="39"/>
  <c r="L89" i="39"/>
  <c r="AP85" i="39"/>
  <c r="I87" i="39"/>
  <c r="AP87" i="39"/>
  <c r="AB91" i="39"/>
  <c r="AP91" i="39" s="1"/>
  <c r="AA91" i="39"/>
  <c r="AO91" i="39" s="1"/>
  <c r="AM91" i="39"/>
  <c r="Z91" i="39"/>
  <c r="AB95" i="39"/>
  <c r="AP95" i="39" s="1"/>
  <c r="AA95" i="39"/>
  <c r="AO95" i="39" s="1"/>
  <c r="AM95" i="39"/>
  <c r="Z95" i="39"/>
  <c r="J97" i="39"/>
  <c r="C19" i="47" s="1"/>
  <c r="AO94" i="39"/>
  <c r="AG97" i="39"/>
  <c r="Z19" i="47" s="1"/>
  <c r="I86" i="39"/>
  <c r="AP86" i="39"/>
  <c r="I88" i="39"/>
  <c r="AP88" i="39"/>
  <c r="O92" i="39"/>
  <c r="U90" i="39"/>
  <c r="AN96" i="39"/>
  <c r="Q97" i="39"/>
  <c r="J19" i="47" s="1"/>
  <c r="X97" i="39"/>
  <c r="Q19" i="47" s="1"/>
  <c r="AI97" i="39"/>
  <c r="AB19" i="47" s="1"/>
  <c r="AA78" i="39"/>
  <c r="AO78" i="39" s="1"/>
  <c r="AM78" i="39"/>
  <c r="Z78" i="39"/>
  <c r="AB81" i="39"/>
  <c r="AP81" i="39" s="1"/>
  <c r="AA81" i="39"/>
  <c r="AO81" i="39" s="1"/>
  <c r="AM81" i="39"/>
  <c r="Z81" i="39"/>
  <c r="AM83" i="39"/>
  <c r="Z83" i="39"/>
  <c r="AB83" i="39"/>
  <c r="AP83" i="39" s="1"/>
  <c r="AB89" i="39"/>
  <c r="AN92" i="39"/>
  <c r="V97" i="39"/>
  <c r="O19" i="47" s="1"/>
  <c r="AK96" i="39"/>
  <c r="AR93" i="39"/>
  <c r="AR96" i="39" s="1"/>
  <c r="AB94" i="39"/>
  <c r="AP94" i="39" s="1"/>
  <c r="AA94" i="39"/>
  <c r="AM94" i="39"/>
  <c r="Z94" i="39"/>
  <c r="R97" i="39"/>
  <c r="K19" i="47" s="1"/>
  <c r="AJ97" i="39"/>
  <c r="AC19" i="47" s="1"/>
  <c r="K84" i="39"/>
  <c r="AK89" i="39"/>
  <c r="Y92" i="39"/>
  <c r="I80" i="39"/>
  <c r="I81" i="39"/>
  <c r="AK82" i="39"/>
  <c r="AR82" i="39" s="1"/>
  <c r="AR84" i="39" s="1"/>
  <c r="Y84" i="39"/>
  <c r="I90" i="39"/>
  <c r="I91" i="39"/>
  <c r="Z85" i="39"/>
  <c r="AM85" i="39"/>
  <c r="Z86" i="39"/>
  <c r="AD86" i="39" s="1"/>
  <c r="AM86" i="39"/>
  <c r="Z87" i="39"/>
  <c r="AD87" i="39" s="1"/>
  <c r="AM87" i="39"/>
  <c r="Z88" i="39"/>
  <c r="AD88" i="39" s="1"/>
  <c r="AM88" i="39"/>
  <c r="U89" i="39"/>
  <c r="AO93" i="39"/>
  <c r="AP93" i="39"/>
  <c r="Z38" i="41" l="1"/>
  <c r="AM98" i="40"/>
  <c r="AK132" i="40"/>
  <c r="AO19" i="39"/>
  <c r="AM124" i="42"/>
  <c r="AM126" i="42" s="1"/>
  <c r="AD131" i="42"/>
  <c r="AL131" i="42" s="1"/>
  <c r="AL51" i="42"/>
  <c r="AP51" i="42"/>
  <c r="AP97" i="42"/>
  <c r="AD70" i="42"/>
  <c r="AD135" i="42"/>
  <c r="AL135" i="42" s="1"/>
  <c r="AB147" i="42"/>
  <c r="AP147" i="42" s="1"/>
  <c r="AD91" i="42"/>
  <c r="AL91" i="42" s="1"/>
  <c r="AB124" i="42"/>
  <c r="AP124" i="42" s="1"/>
  <c r="U126" i="42"/>
  <c r="AD60" i="42"/>
  <c r="AL60" i="42" s="1"/>
  <c r="AB120" i="42"/>
  <c r="AB92" i="42"/>
  <c r="AD45" i="42"/>
  <c r="AL45" i="42" s="1"/>
  <c r="AD112" i="42"/>
  <c r="AL112" i="42" s="1"/>
  <c r="Z72" i="42"/>
  <c r="AO72" i="42"/>
  <c r="I62" i="42"/>
  <c r="AD149" i="42"/>
  <c r="AB63" i="42"/>
  <c r="AP63" i="42" s="1"/>
  <c r="AM22" i="42"/>
  <c r="AM44" i="42"/>
  <c r="AM48" i="42" s="1"/>
  <c r="AA72" i="42"/>
  <c r="AP146" i="42"/>
  <c r="AD150" i="42"/>
  <c r="AL150" i="42" s="1"/>
  <c r="AP36" i="42"/>
  <c r="AB146" i="42"/>
  <c r="AL132" i="42"/>
  <c r="AB138" i="42"/>
  <c r="AP99" i="42"/>
  <c r="AD59" i="42"/>
  <c r="AL59" i="42" s="1"/>
  <c r="U157" i="42"/>
  <c r="Z44" i="42"/>
  <c r="AD44" i="42" s="1"/>
  <c r="U48" i="42"/>
  <c r="AD55" i="42"/>
  <c r="AD68" i="42"/>
  <c r="AL68" i="42" s="1"/>
  <c r="AD54" i="42"/>
  <c r="AL54" i="42" s="1"/>
  <c r="I146" i="42"/>
  <c r="AN83" i="41"/>
  <c r="AA77" i="41"/>
  <c r="AD41" i="41"/>
  <c r="AD106" i="41"/>
  <c r="AL106" i="41" s="1"/>
  <c r="AD36" i="41"/>
  <c r="AL36" i="41" s="1"/>
  <c r="AB96" i="41"/>
  <c r="AB98" i="41" s="1"/>
  <c r="AQ109" i="41"/>
  <c r="AP102" i="41"/>
  <c r="Z101" i="41"/>
  <c r="AD101" i="41" s="1"/>
  <c r="AL101" i="41" s="1"/>
  <c r="AA102" i="41"/>
  <c r="AA96" i="41"/>
  <c r="AO38" i="41"/>
  <c r="AM101" i="41"/>
  <c r="Z96" i="41"/>
  <c r="U119" i="41"/>
  <c r="AD34" i="41"/>
  <c r="AL34" i="41" s="1"/>
  <c r="AD35" i="40"/>
  <c r="AM126" i="40"/>
  <c r="AD13" i="40"/>
  <c r="AL13" i="40" s="1"/>
  <c r="I71" i="40"/>
  <c r="AP104" i="40"/>
  <c r="Y132" i="40"/>
  <c r="I136" i="40"/>
  <c r="I33" i="40"/>
  <c r="AM90" i="40"/>
  <c r="I14" i="40"/>
  <c r="AD30" i="40"/>
  <c r="AL30" i="40" s="1"/>
  <c r="AD92" i="40"/>
  <c r="AL92" i="40" s="1"/>
  <c r="Z90" i="40"/>
  <c r="AM26" i="40"/>
  <c r="AM138" i="40" s="1"/>
  <c r="AA26" i="40"/>
  <c r="AA138" i="40" s="1"/>
  <c r="AP81" i="40"/>
  <c r="U28" i="40"/>
  <c r="AK155" i="42"/>
  <c r="Z69" i="42"/>
  <c r="AD141" i="42"/>
  <c r="AA23" i="42"/>
  <c r="AO23" i="42" s="1"/>
  <c r="AB49" i="42"/>
  <c r="AP49" i="42" s="1"/>
  <c r="U25" i="42"/>
  <c r="AK154" i="42"/>
  <c r="AM147" i="42"/>
  <c r="AM151" i="42" s="1"/>
  <c r="Z147" i="42"/>
  <c r="Z151" i="42" s="1"/>
  <c r="AD139" i="42"/>
  <c r="AL139" i="42" s="1"/>
  <c r="AD136" i="42"/>
  <c r="AL136" i="42" s="1"/>
  <c r="AD83" i="42"/>
  <c r="AL83" i="42" s="1"/>
  <c r="AD82" i="42"/>
  <c r="AL82" i="42" s="1"/>
  <c r="AD75" i="42"/>
  <c r="AL75" i="42" s="1"/>
  <c r="Z49" i="42"/>
  <c r="AD49" i="42" s="1"/>
  <c r="AL49" i="42" s="1"/>
  <c r="AM146" i="42"/>
  <c r="AB72" i="42"/>
  <c r="AD58" i="42"/>
  <c r="AL58" i="42" s="1"/>
  <c r="AN133" i="42"/>
  <c r="AQ152" i="42"/>
  <c r="AJ22" i="47" s="1"/>
  <c r="AO48" i="42"/>
  <c r="AP28" i="42"/>
  <c r="P155" i="42"/>
  <c r="U154" i="42" s="1"/>
  <c r="AM49" i="42"/>
  <c r="L152" i="42"/>
  <c r="E22" i="47" s="1"/>
  <c r="AM103" i="42"/>
  <c r="AP23" i="42"/>
  <c r="AM23" i="42"/>
  <c r="AM25" i="42" s="1"/>
  <c r="O155" i="42"/>
  <c r="AD76" i="42"/>
  <c r="AL76" i="42" s="1"/>
  <c r="AP22" i="42"/>
  <c r="AO32" i="42"/>
  <c r="AO33" i="42" s="1"/>
  <c r="P152" i="42"/>
  <c r="I22" i="47" s="1"/>
  <c r="Z23" i="42"/>
  <c r="Z25" i="42" s="1"/>
  <c r="AM77" i="42"/>
  <c r="AA48" i="42"/>
  <c r="AA147" i="42"/>
  <c r="AA78" i="42"/>
  <c r="AB78" i="42"/>
  <c r="Z78" i="42"/>
  <c r="U80" i="42"/>
  <c r="AM78" i="42"/>
  <c r="AM80" i="42" s="1"/>
  <c r="AD79" i="42"/>
  <c r="AL79" i="42" s="1"/>
  <c r="C22" i="47"/>
  <c r="AO141" i="42"/>
  <c r="AD144" i="42"/>
  <c r="AL144" i="42" s="1"/>
  <c r="AD137" i="42"/>
  <c r="AL137" i="42" s="1"/>
  <c r="AD118" i="42"/>
  <c r="AL118" i="42" s="1"/>
  <c r="AB103" i="42"/>
  <c r="AD61" i="42"/>
  <c r="AL61" i="42" s="1"/>
  <c r="AP25" i="42"/>
  <c r="I69" i="42"/>
  <c r="U159" i="42"/>
  <c r="AN163" i="42"/>
  <c r="AM26" i="42"/>
  <c r="AM28" i="42" s="1"/>
  <c r="AD46" i="42"/>
  <c r="Y155" i="42"/>
  <c r="AB48" i="42"/>
  <c r="AA53" i="42"/>
  <c r="AB53" i="42"/>
  <c r="Z53" i="42"/>
  <c r="U56" i="42"/>
  <c r="AM53" i="42"/>
  <c r="AM56" i="42" s="1"/>
  <c r="U164" i="42"/>
  <c r="Z63" i="42"/>
  <c r="AD63" i="42" s="1"/>
  <c r="AM63" i="42"/>
  <c r="U64" i="42"/>
  <c r="AD71" i="42"/>
  <c r="AL71" i="42" s="1"/>
  <c r="AB158" i="42"/>
  <c r="AO22" i="42"/>
  <c r="I77" i="42"/>
  <c r="AD67" i="42"/>
  <c r="AL67" i="42" s="1"/>
  <c r="AB140" i="42"/>
  <c r="AP140" i="42" s="1"/>
  <c r="AP142" i="42" s="1"/>
  <c r="AM140" i="42"/>
  <c r="AM142" i="42" s="1"/>
  <c r="Z26" i="42"/>
  <c r="AA146" i="42"/>
  <c r="AP137" i="42"/>
  <c r="AP138" i="42" s="1"/>
  <c r="AD119" i="42"/>
  <c r="AL119" i="42" s="1"/>
  <c r="AP77" i="42"/>
  <c r="AD111" i="42"/>
  <c r="L155" i="42"/>
  <c r="AD101" i="42"/>
  <c r="AL101" i="42" s="1"/>
  <c r="AM69" i="42"/>
  <c r="AO65" i="42"/>
  <c r="AO69" i="42" s="1"/>
  <c r="AA69" i="42"/>
  <c r="U142" i="42"/>
  <c r="AN151" i="42"/>
  <c r="AD30" i="42"/>
  <c r="AB69" i="42"/>
  <c r="AL46" i="42"/>
  <c r="AL55" i="42"/>
  <c r="AM120" i="42"/>
  <c r="Z140" i="42"/>
  <c r="Z77" i="42"/>
  <c r="I48" i="42"/>
  <c r="AB115" i="42"/>
  <c r="Z115" i="42"/>
  <c r="Z116" i="42" s="1"/>
  <c r="U116" i="42"/>
  <c r="AD74" i="42"/>
  <c r="AL74" i="42" s="1"/>
  <c r="AO74" i="42"/>
  <c r="AO77" i="42" s="1"/>
  <c r="AA77" i="42"/>
  <c r="AB77" i="42"/>
  <c r="AA57" i="42"/>
  <c r="AA157" i="42" s="1"/>
  <c r="AB57" i="42"/>
  <c r="AB157" i="42" s="1"/>
  <c r="Z57" i="42"/>
  <c r="U62" i="42"/>
  <c r="AM57" i="42"/>
  <c r="AM62" i="42" s="1"/>
  <c r="AQ155" i="42"/>
  <c r="AA31" i="42"/>
  <c r="AA26" i="42"/>
  <c r="AO26" i="42" s="1"/>
  <c r="AP151" i="42"/>
  <c r="K152" i="42"/>
  <c r="D22" i="47" s="1"/>
  <c r="AP70" i="42"/>
  <c r="AP72" i="42" s="1"/>
  <c r="AK153" i="42"/>
  <c r="X22" i="47"/>
  <c r="AA140" i="42"/>
  <c r="AO140" i="42" s="1"/>
  <c r="AP65" i="42"/>
  <c r="AP69" i="42" s="1"/>
  <c r="AM106" i="42"/>
  <c r="AL73" i="42"/>
  <c r="AA36" i="42"/>
  <c r="AA158" i="42"/>
  <c r="U28" i="42"/>
  <c r="AP58" i="42"/>
  <c r="AB151" i="42"/>
  <c r="AD65" i="42"/>
  <c r="K155" i="42"/>
  <c r="AM138" i="42"/>
  <c r="AK152" i="42"/>
  <c r="AD22" i="47" s="1"/>
  <c r="AB126" i="42"/>
  <c r="AM89" i="42"/>
  <c r="AP48" i="42"/>
  <c r="AA22" i="42"/>
  <c r="AD88" i="42"/>
  <c r="AL88" i="42" s="1"/>
  <c r="AM72" i="42"/>
  <c r="AP49" i="41"/>
  <c r="AD85" i="41"/>
  <c r="AL85" i="41" s="1"/>
  <c r="AD80" i="41"/>
  <c r="AL80" i="41" s="1"/>
  <c r="AN102" i="41"/>
  <c r="AD32" i="41"/>
  <c r="AL32" i="41" s="1"/>
  <c r="AD91" i="41"/>
  <c r="AL91" i="41" s="1"/>
  <c r="AB102" i="41"/>
  <c r="AD23" i="41"/>
  <c r="AL23" i="41" s="1"/>
  <c r="AK109" i="41"/>
  <c r="Y21" i="47"/>
  <c r="AD90" i="41"/>
  <c r="AM77" i="41"/>
  <c r="AD94" i="41"/>
  <c r="AL94" i="41" s="1"/>
  <c r="P108" i="41"/>
  <c r="I21" i="47" s="1"/>
  <c r="I120" i="41"/>
  <c r="AD73" i="41"/>
  <c r="AD24" i="41"/>
  <c r="AL24" i="41" s="1"/>
  <c r="AM98" i="41"/>
  <c r="AR115" i="41"/>
  <c r="I26" i="41"/>
  <c r="K111" i="41"/>
  <c r="AB107" i="41"/>
  <c r="AL73" i="41"/>
  <c r="AK110" i="41"/>
  <c r="Y108" i="41"/>
  <c r="R21" i="47" s="1"/>
  <c r="AK115" i="41"/>
  <c r="AK111" i="41" s="1"/>
  <c r="AD37" i="41"/>
  <c r="AL37" i="41" s="1"/>
  <c r="AM38" i="41"/>
  <c r="AD35" i="41"/>
  <c r="AL35" i="41" s="1"/>
  <c r="AM95" i="41"/>
  <c r="AA88" i="41"/>
  <c r="AO50" i="41"/>
  <c r="AO51" i="41" s="1"/>
  <c r="O111" i="41"/>
  <c r="U110" i="41" s="1"/>
  <c r="AD21" i="41"/>
  <c r="AL21" i="41" s="1"/>
  <c r="AA38" i="41"/>
  <c r="AD13" i="41"/>
  <c r="AL13" i="41" s="1"/>
  <c r="AD104" i="41"/>
  <c r="AL104" i="41" s="1"/>
  <c r="AB95" i="41"/>
  <c r="AK64" i="41"/>
  <c r="AK108" i="41" s="1"/>
  <c r="AD21" i="47" s="1"/>
  <c r="AL63" i="41"/>
  <c r="Y111" i="41"/>
  <c r="AD58" i="41"/>
  <c r="AL58" i="41" s="1"/>
  <c r="AD29" i="41"/>
  <c r="AL29" i="41" s="1"/>
  <c r="AP34" i="41"/>
  <c r="AP38" i="41" s="1"/>
  <c r="AB38" i="41"/>
  <c r="AM99" i="40"/>
  <c r="AM101" i="40" s="1"/>
  <c r="AA85" i="40"/>
  <c r="U138" i="40"/>
  <c r="AB26" i="40"/>
  <c r="AD106" i="40"/>
  <c r="AL106" i="40" s="1"/>
  <c r="AN114" i="40"/>
  <c r="AA20" i="40"/>
  <c r="AL111" i="40"/>
  <c r="AA98" i="40"/>
  <c r="AL55" i="40"/>
  <c r="AD100" i="40"/>
  <c r="AL100" i="40" s="1"/>
  <c r="AK130" i="40"/>
  <c r="AD20" i="47" s="1"/>
  <c r="AD113" i="40"/>
  <c r="AL113" i="40" s="1"/>
  <c r="O130" i="40"/>
  <c r="H20" i="47" s="1"/>
  <c r="AO26" i="40"/>
  <c r="AO138" i="40" s="1"/>
  <c r="K133" i="40"/>
  <c r="AB99" i="40"/>
  <c r="AD69" i="40"/>
  <c r="AL69" i="40" s="1"/>
  <c r="AM142" i="40"/>
  <c r="AA52" i="40"/>
  <c r="AM52" i="40"/>
  <c r="AM56" i="40" s="1"/>
  <c r="U56" i="40"/>
  <c r="AB52" i="40"/>
  <c r="Z52" i="40"/>
  <c r="AL112" i="40"/>
  <c r="AD125" i="40"/>
  <c r="AL125" i="40" s="1"/>
  <c r="L130" i="40"/>
  <c r="E20" i="47" s="1"/>
  <c r="AO80" i="40"/>
  <c r="AO81" i="40" s="1"/>
  <c r="U142" i="40"/>
  <c r="AM23" i="40"/>
  <c r="AM28" i="40" s="1"/>
  <c r="AB23" i="40"/>
  <c r="AP23" i="40" s="1"/>
  <c r="Z75" i="40"/>
  <c r="Z78" i="40" s="1"/>
  <c r="AM75" i="40"/>
  <c r="AM78" i="40" s="1"/>
  <c r="AA75" i="40"/>
  <c r="AO75" i="40" s="1"/>
  <c r="Z99" i="40"/>
  <c r="AB45" i="40"/>
  <c r="AB142" i="40" s="1"/>
  <c r="AM129" i="40"/>
  <c r="AK131" i="40"/>
  <c r="Y20" i="47"/>
  <c r="AA99" i="40"/>
  <c r="AA101" i="40" s="1"/>
  <c r="AD108" i="40"/>
  <c r="AB78" i="40"/>
  <c r="AP75" i="40"/>
  <c r="AP78" i="40" s="1"/>
  <c r="U46" i="40"/>
  <c r="AM71" i="40"/>
  <c r="U141" i="40"/>
  <c r="AL80" i="40"/>
  <c r="AA45" i="40"/>
  <c r="AA142" i="40" s="1"/>
  <c r="AA81" i="40"/>
  <c r="AD117" i="40"/>
  <c r="AL117" i="40" s="1"/>
  <c r="AO94" i="40"/>
  <c r="AO98" i="40" s="1"/>
  <c r="AP98" i="40"/>
  <c r="Y133" i="40"/>
  <c r="AD40" i="40"/>
  <c r="AL40" i="40" s="1"/>
  <c r="AD79" i="40"/>
  <c r="U143" i="40"/>
  <c r="AM21" i="40"/>
  <c r="AM22" i="40" s="1"/>
  <c r="AB21" i="40"/>
  <c r="U22" i="40"/>
  <c r="AM105" i="40"/>
  <c r="AM109" i="40" s="1"/>
  <c r="AA105" i="40"/>
  <c r="AO105" i="40" s="1"/>
  <c r="AO109" i="40" s="1"/>
  <c r="AD54" i="40"/>
  <c r="AL54" i="40" s="1"/>
  <c r="AA78" i="40"/>
  <c r="AD49" i="40"/>
  <c r="AL49" i="40" s="1"/>
  <c r="AO82" i="40"/>
  <c r="AO85" i="40" s="1"/>
  <c r="Z45" i="40"/>
  <c r="Z142" i="40" s="1"/>
  <c r="AD70" i="40"/>
  <c r="AL70" i="40" s="1"/>
  <c r="AR143" i="40"/>
  <c r="AD60" i="40"/>
  <c r="AL60" i="40" s="1"/>
  <c r="U51" i="40"/>
  <c r="AA47" i="40"/>
  <c r="AO15" i="39"/>
  <c r="Y97" i="39"/>
  <c r="R19" i="47" s="1"/>
  <c r="I96" i="39"/>
  <c r="AD53" i="39"/>
  <c r="AL53" i="39" s="1"/>
  <c r="P97" i="39"/>
  <c r="I19" i="47" s="1"/>
  <c r="AD16" i="39"/>
  <c r="AL16" i="39" s="1"/>
  <c r="AO38" i="39"/>
  <c r="AO39" i="39" s="1"/>
  <c r="AD32" i="39"/>
  <c r="AL32" i="39" s="1"/>
  <c r="AD51" i="39"/>
  <c r="AL51" i="39" s="1"/>
  <c r="AP40" i="39"/>
  <c r="AP42" i="39" s="1"/>
  <c r="U35" i="39"/>
  <c r="AB31" i="39"/>
  <c r="AP31" i="39" s="1"/>
  <c r="AP32" i="39"/>
  <c r="AD82" i="39"/>
  <c r="AL82" i="39" s="1"/>
  <c r="AD58" i="39"/>
  <c r="AL58" i="39" s="1"/>
  <c r="AM38" i="39"/>
  <c r="AM39" i="39" s="1"/>
  <c r="AD62" i="39"/>
  <c r="AL62" i="39" s="1"/>
  <c r="AD83" i="39"/>
  <c r="AQ97" i="39"/>
  <c r="AJ19" i="47" s="1"/>
  <c r="U39" i="39"/>
  <c r="AP55" i="39"/>
  <c r="AP59" i="39" s="1"/>
  <c r="AD61" i="39"/>
  <c r="AL61" i="39" s="1"/>
  <c r="Z14" i="39"/>
  <c r="Z17" i="39" s="1"/>
  <c r="AM14" i="39"/>
  <c r="O97" i="39"/>
  <c r="H19" i="47" s="1"/>
  <c r="AD72" i="39"/>
  <c r="AB38" i="39"/>
  <c r="AB39" i="39" s="1"/>
  <c r="AL27" i="39"/>
  <c r="Y100" i="39"/>
  <c r="AL33" i="39"/>
  <c r="AM31" i="39"/>
  <c r="AM35" i="39" s="1"/>
  <c r="AO96" i="39"/>
  <c r="U101" i="39"/>
  <c r="K97" i="39"/>
  <c r="D19" i="47" s="1"/>
  <c r="AL87" i="39"/>
  <c r="AL88" i="39"/>
  <c r="L97" i="39"/>
  <c r="E19" i="47" s="1"/>
  <c r="AK98" i="39"/>
  <c r="Y19" i="47"/>
  <c r="AL67" i="39"/>
  <c r="AA31" i="39"/>
  <c r="AD29" i="39"/>
  <c r="AL29" i="39" s="1"/>
  <c r="U110" i="39"/>
  <c r="AM12" i="39"/>
  <c r="AM13" i="39" s="1"/>
  <c r="Z38" i="39"/>
  <c r="Z110" i="39" s="1"/>
  <c r="I119" i="41"/>
  <c r="AQ111" i="41"/>
  <c r="AQ130" i="40"/>
  <c r="AJ20" i="47" s="1"/>
  <c r="AQ133" i="40"/>
  <c r="I134" i="40"/>
  <c r="AQ100" i="39"/>
  <c r="AP164" i="42"/>
  <c r="AP64" i="42"/>
  <c r="AO43" i="42"/>
  <c r="I96" i="42"/>
  <c r="AN156" i="42"/>
  <c r="I25" i="42"/>
  <c r="AD20" i="42"/>
  <c r="AL20" i="42" s="1"/>
  <c r="Z22" i="42"/>
  <c r="I158" i="42"/>
  <c r="I156" i="42"/>
  <c r="I19" i="42"/>
  <c r="AR156" i="42"/>
  <c r="AR19" i="42"/>
  <c r="Y153" i="42"/>
  <c r="O153" i="42"/>
  <c r="AM128" i="42"/>
  <c r="AB128" i="42"/>
  <c r="AP128" i="42" s="1"/>
  <c r="AP129" i="42" s="1"/>
  <c r="Z128" i="42"/>
  <c r="AA128" i="42"/>
  <c r="AO128" i="42" s="1"/>
  <c r="I138" i="42"/>
  <c r="AP130" i="42"/>
  <c r="AP133" i="42" s="1"/>
  <c r="AB43" i="42"/>
  <c r="AB165" i="42"/>
  <c r="AB38" i="42"/>
  <c r="U156" i="42"/>
  <c r="AO127" i="42"/>
  <c r="AL141" i="42"/>
  <c r="AA120" i="42"/>
  <c r="AO117" i="42"/>
  <c r="AO120" i="42" s="1"/>
  <c r="I151" i="42"/>
  <c r="I122" i="42"/>
  <c r="Z146" i="42"/>
  <c r="AD121" i="42"/>
  <c r="AD122" i="42" s="1"/>
  <c r="Z122" i="42"/>
  <c r="AB106" i="42"/>
  <c r="AP104" i="42"/>
  <c r="AP106" i="42" s="1"/>
  <c r="I92" i="42"/>
  <c r="AP89" i="42"/>
  <c r="U114" i="42"/>
  <c r="AA110" i="42"/>
  <c r="AM110" i="42"/>
  <c r="AM114" i="42" s="1"/>
  <c r="AB110" i="42"/>
  <c r="Z110" i="42"/>
  <c r="AD100" i="42"/>
  <c r="Z103" i="42"/>
  <c r="AM92" i="42"/>
  <c r="AD117" i="42"/>
  <c r="Z120" i="42"/>
  <c r="AP100" i="42"/>
  <c r="AP103" i="42" s="1"/>
  <c r="AD42" i="42"/>
  <c r="AL42" i="42" s="1"/>
  <c r="AO34" i="42"/>
  <c r="AO36" i="42" s="1"/>
  <c r="AD113" i="42"/>
  <c r="AL113" i="42" s="1"/>
  <c r="AR159" i="42"/>
  <c r="AR52" i="42"/>
  <c r="AA25" i="42"/>
  <c r="AA163" i="42"/>
  <c r="I120" i="42"/>
  <c r="AB94" i="42"/>
  <c r="AA94" i="42"/>
  <c r="AO94" i="42" s="1"/>
  <c r="AO96" i="42" s="1"/>
  <c r="AM94" i="42"/>
  <c r="AM96" i="42" s="1"/>
  <c r="Z94" i="42"/>
  <c r="Z96" i="42" s="1"/>
  <c r="Z89" i="42"/>
  <c r="AD85" i="42"/>
  <c r="AP40" i="42"/>
  <c r="AD35" i="42"/>
  <c r="AL35" i="42" s="1"/>
  <c r="AL30" i="42"/>
  <c r="AD27" i="42"/>
  <c r="AL27" i="42" s="1"/>
  <c r="I22" i="42"/>
  <c r="AM163" i="42"/>
  <c r="AO90" i="42"/>
  <c r="AO92" i="42" s="1"/>
  <c r="AL47" i="42"/>
  <c r="AO13" i="42"/>
  <c r="Z92" i="42"/>
  <c r="AD90" i="42"/>
  <c r="AD92" i="42" s="1"/>
  <c r="AD93" i="42"/>
  <c r="Z133" i="42"/>
  <c r="AD130" i="42"/>
  <c r="AP125" i="42"/>
  <c r="Z142" i="42"/>
  <c r="AD123" i="42"/>
  <c r="AL123" i="42" s="1"/>
  <c r="Z126" i="42"/>
  <c r="AD143" i="42"/>
  <c r="AO121" i="42"/>
  <c r="AO122" i="42" s="1"/>
  <c r="AA122" i="42"/>
  <c r="AR164" i="42"/>
  <c r="AR64" i="42"/>
  <c r="AD108" i="42"/>
  <c r="AP117" i="42"/>
  <c r="AP120" i="42" s="1"/>
  <c r="AP84" i="42"/>
  <c r="AR157" i="42"/>
  <c r="AR43" i="42"/>
  <c r="AP14" i="42"/>
  <c r="AP19" i="42" s="1"/>
  <c r="I103" i="42"/>
  <c r="AD87" i="42"/>
  <c r="AL87" i="42" s="1"/>
  <c r="AP39" i="42"/>
  <c r="AO163" i="42"/>
  <c r="AB19" i="42"/>
  <c r="AD127" i="42"/>
  <c r="AL70" i="42"/>
  <c r="AL72" i="42" s="1"/>
  <c r="AA43" i="42"/>
  <c r="AO81" i="42"/>
  <c r="AO84" i="42" s="1"/>
  <c r="AA84" i="42"/>
  <c r="AM165" i="42"/>
  <c r="AM38" i="42"/>
  <c r="AD32" i="42"/>
  <c r="AD33" i="42" s="1"/>
  <c r="Z33" i="42"/>
  <c r="AM31" i="42"/>
  <c r="AD24" i="42"/>
  <c r="AL24" i="42" s="1"/>
  <c r="Z163" i="42"/>
  <c r="AD17" i="42"/>
  <c r="AL17" i="42" s="1"/>
  <c r="AD15" i="42"/>
  <c r="AL15" i="42" s="1"/>
  <c r="AD13" i="42"/>
  <c r="AL13" i="42" s="1"/>
  <c r="AD95" i="42"/>
  <c r="AL95" i="42" s="1"/>
  <c r="AD134" i="42"/>
  <c r="Z138" i="42"/>
  <c r="AL149" i="42"/>
  <c r="AD148" i="42"/>
  <c r="AA126" i="42"/>
  <c r="AO123" i="42"/>
  <c r="AO126" i="42" s="1"/>
  <c r="AQ153" i="42"/>
  <c r="I126" i="42"/>
  <c r="AN159" i="42"/>
  <c r="AN52" i="42"/>
  <c r="AD104" i="42"/>
  <c r="Z106" i="42"/>
  <c r="Z99" i="42"/>
  <c r="AD97" i="42"/>
  <c r="AL97" i="42" s="1"/>
  <c r="AA103" i="42"/>
  <c r="AO100" i="42"/>
  <c r="AO103" i="42" s="1"/>
  <c r="AB164" i="42"/>
  <c r="AB64" i="42"/>
  <c r="AN164" i="42"/>
  <c r="AN64" i="42"/>
  <c r="AA99" i="42"/>
  <c r="AO31" i="42"/>
  <c r="AB163" i="42"/>
  <c r="AM129" i="42"/>
  <c r="AD102" i="42"/>
  <c r="AL102" i="42" s="1"/>
  <c r="AB84" i="42"/>
  <c r="AP90" i="42"/>
  <c r="AP92" i="42" s="1"/>
  <c r="AN157" i="42"/>
  <c r="Z165" i="42"/>
  <c r="AD37" i="42"/>
  <c r="AL37" i="42" s="1"/>
  <c r="Z38" i="42"/>
  <c r="AM36" i="42"/>
  <c r="I33" i="42"/>
  <c r="AD29" i="42"/>
  <c r="AD31" i="42" s="1"/>
  <c r="Z31" i="42"/>
  <c r="AD21" i="42"/>
  <c r="AL21" i="42" s="1"/>
  <c r="I163" i="42"/>
  <c r="AM43" i="42"/>
  <c r="AD86" i="42"/>
  <c r="AL86" i="42" s="1"/>
  <c r="AO49" i="42"/>
  <c r="Y152" i="42"/>
  <c r="R22" i="47" s="1"/>
  <c r="AA116" i="42"/>
  <c r="AO115" i="42"/>
  <c r="AO116" i="42" s="1"/>
  <c r="AO142" i="42"/>
  <c r="AO131" i="42"/>
  <c r="AO133" i="42" s="1"/>
  <c r="AA133" i="42"/>
  <c r="AD98" i="42"/>
  <c r="AL98" i="42" s="1"/>
  <c r="AA164" i="42"/>
  <c r="AO63" i="42"/>
  <c r="AA64" i="42"/>
  <c r="AL111" i="42"/>
  <c r="I114" i="42"/>
  <c r="AO28" i="42"/>
  <c r="AA165" i="42"/>
  <c r="AA38" i="42"/>
  <c r="Z84" i="42"/>
  <c r="AD81" i="42"/>
  <c r="AD39" i="42"/>
  <c r="AL39" i="42" s="1"/>
  <c r="Z43" i="42"/>
  <c r="I165" i="42"/>
  <c r="I38" i="42"/>
  <c r="AD34" i="42"/>
  <c r="AD36" i="42" s="1"/>
  <c r="Z36" i="42"/>
  <c r="I31" i="42"/>
  <c r="AD26" i="42"/>
  <c r="AL26" i="42" s="1"/>
  <c r="Z28" i="42"/>
  <c r="AM19" i="42"/>
  <c r="AD105" i="42"/>
  <c r="AL105" i="42" s="1"/>
  <c r="AO85" i="42"/>
  <c r="AO89" i="42" s="1"/>
  <c r="AA89" i="42"/>
  <c r="AD41" i="42"/>
  <c r="AL41" i="42" s="1"/>
  <c r="AA19" i="42"/>
  <c r="AO143" i="42"/>
  <c r="AO146" i="42" s="1"/>
  <c r="Y154" i="42"/>
  <c r="O154" i="42"/>
  <c r="AL148" i="42"/>
  <c r="O152" i="42"/>
  <c r="H22" i="47" s="1"/>
  <c r="AA138" i="42"/>
  <c r="AO136" i="42"/>
  <c r="AO138" i="42" s="1"/>
  <c r="I133" i="42"/>
  <c r="AD125" i="42"/>
  <c r="AL125" i="42" s="1"/>
  <c r="AA107" i="42"/>
  <c r="AM107" i="42"/>
  <c r="AM109" i="42" s="1"/>
  <c r="U109" i="42"/>
  <c r="AB107" i="42"/>
  <c r="Z107" i="42"/>
  <c r="AL108" i="42"/>
  <c r="AA106" i="42"/>
  <c r="AO104" i="42"/>
  <c r="AO106" i="42" s="1"/>
  <c r="AP37" i="42"/>
  <c r="I159" i="42"/>
  <c r="I52" i="42"/>
  <c r="AO37" i="42"/>
  <c r="AO25" i="42"/>
  <c r="AO14" i="42"/>
  <c r="U129" i="42"/>
  <c r="Z50" i="42"/>
  <c r="AB50" i="42"/>
  <c r="AP50" i="42" s="1"/>
  <c r="AP52" i="42" s="1"/>
  <c r="AA50" i="42"/>
  <c r="AO50" i="42" s="1"/>
  <c r="AM50" i="42"/>
  <c r="AA28" i="42"/>
  <c r="I99" i="42"/>
  <c r="I157" i="42"/>
  <c r="I43" i="42"/>
  <c r="I36" i="42"/>
  <c r="I28" i="42"/>
  <c r="AD18" i="42"/>
  <c r="AL18" i="42" s="1"/>
  <c r="AD16" i="42"/>
  <c r="AL16" i="42" s="1"/>
  <c r="Z158" i="42"/>
  <c r="AD14" i="42"/>
  <c r="AD12" i="42"/>
  <c r="Z19" i="42"/>
  <c r="AR165" i="42"/>
  <c r="AR38" i="42"/>
  <c r="AB89" i="42"/>
  <c r="AO49" i="41"/>
  <c r="AP119" i="41"/>
  <c r="AP107" i="41"/>
  <c r="AD92" i="41"/>
  <c r="AL92" i="41" s="1"/>
  <c r="AD97" i="41"/>
  <c r="AL97" i="41" s="1"/>
  <c r="Z88" i="41"/>
  <c r="AD84" i="41"/>
  <c r="AL84" i="41" s="1"/>
  <c r="AD103" i="41"/>
  <c r="Z107" i="41"/>
  <c r="I121" i="41"/>
  <c r="I95" i="41"/>
  <c r="I74" i="41"/>
  <c r="AD93" i="41"/>
  <c r="AB65" i="41"/>
  <c r="U67" i="41"/>
  <c r="AM65" i="41"/>
  <c r="AM67" i="41" s="1"/>
  <c r="Z65" i="41"/>
  <c r="AA65" i="41"/>
  <c r="AO64" i="41"/>
  <c r="Z51" i="41"/>
  <c r="AD50" i="41"/>
  <c r="AD51" i="41" s="1"/>
  <c r="AA95" i="41"/>
  <c r="AL100" i="41"/>
  <c r="AD99" i="41"/>
  <c r="Z102" i="41"/>
  <c r="AM88" i="41"/>
  <c r="AM107" i="41"/>
  <c r="AO76" i="41"/>
  <c r="AO77" i="41" s="1"/>
  <c r="AA98" i="41"/>
  <c r="AO96" i="41"/>
  <c r="AO98" i="41" s="1"/>
  <c r="AP77" i="41"/>
  <c r="AD68" i="41"/>
  <c r="Z70" i="41"/>
  <c r="AA74" i="41"/>
  <c r="AD87" i="41"/>
  <c r="AL87" i="41" s="1"/>
  <c r="I70" i="41"/>
  <c r="I64" i="41"/>
  <c r="AM54" i="41"/>
  <c r="I51" i="41"/>
  <c r="AD47" i="41"/>
  <c r="AL47" i="41" s="1"/>
  <c r="AD45" i="41"/>
  <c r="AL45" i="41" s="1"/>
  <c r="AD42" i="41"/>
  <c r="AL42" i="41" s="1"/>
  <c r="I67" i="41"/>
  <c r="I59" i="41"/>
  <c r="U115" i="41"/>
  <c r="AB30" i="41"/>
  <c r="AA30" i="41"/>
  <c r="Z30" i="41"/>
  <c r="AM30" i="41"/>
  <c r="AB22" i="41"/>
  <c r="AA22" i="41"/>
  <c r="Z22" i="41"/>
  <c r="AM22" i="41"/>
  <c r="AM26" i="41" s="1"/>
  <c r="O108" i="41"/>
  <c r="AL41" i="41"/>
  <c r="AA43" i="41"/>
  <c r="I33" i="41"/>
  <c r="L108" i="41"/>
  <c r="E21" i="47" s="1"/>
  <c r="I115" i="41"/>
  <c r="AD60" i="41"/>
  <c r="AL60" i="41" s="1"/>
  <c r="Z64" i="41"/>
  <c r="Y109" i="41"/>
  <c r="O109" i="41"/>
  <c r="AP23" i="41"/>
  <c r="AD17" i="41"/>
  <c r="AL17" i="41" s="1"/>
  <c r="AD105" i="41"/>
  <c r="AL105" i="41" s="1"/>
  <c r="AP95" i="41"/>
  <c r="AM102" i="41"/>
  <c r="AO88" i="41"/>
  <c r="Z77" i="41"/>
  <c r="AD75" i="41"/>
  <c r="AL75" i="41" s="1"/>
  <c r="I102" i="41"/>
  <c r="AD96" i="41"/>
  <c r="Z98" i="41"/>
  <c r="AO95" i="41"/>
  <c r="AD81" i="41"/>
  <c r="AL81" i="41" s="1"/>
  <c r="I88" i="41"/>
  <c r="I77" i="41"/>
  <c r="AM70" i="41"/>
  <c r="AP88" i="41"/>
  <c r="AP71" i="41"/>
  <c r="AP74" i="41" s="1"/>
  <c r="AB74" i="41"/>
  <c r="AA54" i="41"/>
  <c r="AA49" i="41"/>
  <c r="Z54" i="41"/>
  <c r="AD52" i="41"/>
  <c r="AL52" i="41" s="1"/>
  <c r="AO69" i="41"/>
  <c r="AO70" i="41" s="1"/>
  <c r="AD53" i="41"/>
  <c r="AL53" i="41" s="1"/>
  <c r="I43" i="41"/>
  <c r="AD31" i="41"/>
  <c r="AL31" i="41" s="1"/>
  <c r="AD18" i="41"/>
  <c r="AL18" i="41" s="1"/>
  <c r="AD57" i="41"/>
  <c r="AL57" i="41" s="1"/>
  <c r="AR112" i="41"/>
  <c r="AR15" i="41"/>
  <c r="AR33" i="41"/>
  <c r="AQ108" i="41"/>
  <c r="AJ21" i="47" s="1"/>
  <c r="AM64" i="41"/>
  <c r="U120" i="41"/>
  <c r="AB27" i="41"/>
  <c r="AA27" i="41"/>
  <c r="Z27" i="41"/>
  <c r="AM27" i="41"/>
  <c r="U28" i="41"/>
  <c r="AR113" i="41"/>
  <c r="AR20" i="41"/>
  <c r="AM119" i="41"/>
  <c r="I107" i="41"/>
  <c r="I98" i="41"/>
  <c r="U121" i="41"/>
  <c r="AM82" i="41"/>
  <c r="AM121" i="41" s="1"/>
  <c r="Z82" i="41"/>
  <c r="AB82" i="41"/>
  <c r="AA82" i="41"/>
  <c r="U83" i="41"/>
  <c r="AM78" i="41"/>
  <c r="Z78" i="41"/>
  <c r="AB78" i="41"/>
  <c r="AA78" i="41"/>
  <c r="AN95" i="41"/>
  <c r="AN108" i="41" s="1"/>
  <c r="AG21" i="47" s="1"/>
  <c r="AA107" i="41"/>
  <c r="AO103" i="41"/>
  <c r="AO107" i="41" s="1"/>
  <c r="AO74" i="41"/>
  <c r="AL90" i="41"/>
  <c r="AD86" i="41"/>
  <c r="AL86" i="41" s="1"/>
  <c r="AB88" i="41"/>
  <c r="I54" i="41"/>
  <c r="AM49" i="41"/>
  <c r="AR83" i="41"/>
  <c r="AD72" i="41"/>
  <c r="AL72" i="41" s="1"/>
  <c r="AN112" i="41"/>
  <c r="AD40" i="41"/>
  <c r="AL40" i="41" s="1"/>
  <c r="AO43" i="41"/>
  <c r="AO119" i="41"/>
  <c r="AN113" i="41"/>
  <c r="L111" i="41"/>
  <c r="AD25" i="41"/>
  <c r="AD19" i="41"/>
  <c r="AL93" i="41"/>
  <c r="AD79" i="41"/>
  <c r="AL79" i="41" s="1"/>
  <c r="AD89" i="41"/>
  <c r="Z95" i="41"/>
  <c r="AP68" i="41"/>
  <c r="AP70" i="41" s="1"/>
  <c r="AB70" i="41"/>
  <c r="AD71" i="41"/>
  <c r="Z74" i="41"/>
  <c r="AD69" i="41"/>
  <c r="AL69" i="41" s="1"/>
  <c r="AD48" i="41"/>
  <c r="AL48" i="41" s="1"/>
  <c r="AD46" i="41"/>
  <c r="AL46" i="41" s="1"/>
  <c r="Z49" i="41"/>
  <c r="AD44" i="41"/>
  <c r="AL44" i="41" s="1"/>
  <c r="AD66" i="41"/>
  <c r="AL66" i="41" s="1"/>
  <c r="U112" i="41"/>
  <c r="U15" i="41"/>
  <c r="Z12" i="41"/>
  <c r="AM12" i="41"/>
  <c r="AB12" i="41"/>
  <c r="AA12" i="41"/>
  <c r="AP52" i="41"/>
  <c r="AP54" i="41" s="1"/>
  <c r="AD39" i="41"/>
  <c r="Z43" i="41"/>
  <c r="AL25" i="41"/>
  <c r="AA64" i="41"/>
  <c r="U113" i="41"/>
  <c r="AB16" i="41"/>
  <c r="AA16" i="41"/>
  <c r="Z16" i="41"/>
  <c r="AM16" i="41"/>
  <c r="U20" i="41"/>
  <c r="AA119" i="41"/>
  <c r="U59" i="41"/>
  <c r="AM55" i="41"/>
  <c r="AM59" i="41" s="1"/>
  <c r="Z55" i="41"/>
  <c r="AB55" i="41"/>
  <c r="AA55" i="41"/>
  <c r="I49" i="41"/>
  <c r="AB77" i="41"/>
  <c r="AD61" i="41"/>
  <c r="AL61" i="41" s="1"/>
  <c r="I112" i="41"/>
  <c r="I113" i="41"/>
  <c r="AO54" i="41"/>
  <c r="AM43" i="41"/>
  <c r="AB64" i="41"/>
  <c r="AP60" i="41"/>
  <c r="AP64" i="41" s="1"/>
  <c r="AD14" i="41"/>
  <c r="AL14" i="41" s="1"/>
  <c r="AB119" i="41"/>
  <c r="AO99" i="41"/>
  <c r="AO102" i="41" s="1"/>
  <c r="I83" i="41"/>
  <c r="AD76" i="41"/>
  <c r="AL76" i="41" s="1"/>
  <c r="AD56" i="41"/>
  <c r="AL56" i="41" s="1"/>
  <c r="AD62" i="41"/>
  <c r="AL62" i="41" s="1"/>
  <c r="AB43" i="41"/>
  <c r="AP39" i="41"/>
  <c r="AP43" i="41" s="1"/>
  <c r="K108" i="41"/>
  <c r="AR120" i="41"/>
  <c r="AR28" i="41"/>
  <c r="AD87" i="40"/>
  <c r="AL86" i="40"/>
  <c r="AL87" i="40" s="1"/>
  <c r="U136" i="40"/>
  <c r="AB29" i="40"/>
  <c r="AM29" i="40"/>
  <c r="U33" i="40"/>
  <c r="Z29" i="40"/>
  <c r="AA29" i="40"/>
  <c r="Z138" i="40"/>
  <c r="AD26" i="40"/>
  <c r="AD138" i="40" s="1"/>
  <c r="I135" i="40"/>
  <c r="I28" i="40"/>
  <c r="I44" i="40"/>
  <c r="Y130" i="40"/>
  <c r="R20" i="47" s="1"/>
  <c r="I38" i="40"/>
  <c r="AP129" i="40"/>
  <c r="U114" i="40"/>
  <c r="AM110" i="40"/>
  <c r="AM114" i="40" s="1"/>
  <c r="Z110" i="40"/>
  <c r="AA110" i="40"/>
  <c r="AB110" i="40"/>
  <c r="AB129" i="40"/>
  <c r="AB120" i="40"/>
  <c r="AA120" i="40"/>
  <c r="U122" i="40"/>
  <c r="AM120" i="40"/>
  <c r="AM122" i="40" s="1"/>
  <c r="Z120" i="40"/>
  <c r="AA115" i="40"/>
  <c r="U119" i="40"/>
  <c r="AM115" i="40"/>
  <c r="AM119" i="40" s="1"/>
  <c r="Z115" i="40"/>
  <c r="AB115" i="40"/>
  <c r="AD94" i="40"/>
  <c r="Z98" i="40"/>
  <c r="AD48" i="40"/>
  <c r="AL48" i="40" s="1"/>
  <c r="AD103" i="40"/>
  <c r="AL103" i="40" s="1"/>
  <c r="AD97" i="40"/>
  <c r="AL97" i="40" s="1"/>
  <c r="AD107" i="40"/>
  <c r="AL107" i="40" s="1"/>
  <c r="AL79" i="40"/>
  <c r="AL81" i="40" s="1"/>
  <c r="I81" i="40"/>
  <c r="AL108" i="40"/>
  <c r="AP47" i="40"/>
  <c r="AP51" i="40" s="1"/>
  <c r="AB51" i="40"/>
  <c r="AD76" i="40"/>
  <c r="AL76" i="40" s="1"/>
  <c r="AD73" i="40"/>
  <c r="AL73" i="40" s="1"/>
  <c r="AN135" i="40"/>
  <c r="AN28" i="40"/>
  <c r="AD19" i="40"/>
  <c r="AL19" i="40" s="1"/>
  <c r="AK133" i="40"/>
  <c r="AB98" i="40"/>
  <c r="I56" i="40"/>
  <c r="I138" i="40"/>
  <c r="O133" i="40"/>
  <c r="U132" i="40" s="1"/>
  <c r="AO99" i="40"/>
  <c r="AO101" i="40" s="1"/>
  <c r="AD83" i="40"/>
  <c r="AL83" i="40" s="1"/>
  <c r="AO72" i="40"/>
  <c r="AO74" i="40" s="1"/>
  <c r="AA74" i="40"/>
  <c r="AL35" i="40"/>
  <c r="AB85" i="40"/>
  <c r="I61" i="40"/>
  <c r="AD68" i="40"/>
  <c r="AL68" i="40" s="1"/>
  <c r="AO62" i="40"/>
  <c r="AB64" i="40"/>
  <c r="AP64" i="40" s="1"/>
  <c r="AM64" i="40"/>
  <c r="Z64" i="40"/>
  <c r="AA64" i="40"/>
  <c r="AO64" i="40" s="1"/>
  <c r="AL50" i="40"/>
  <c r="AD37" i="40"/>
  <c r="AO20" i="40"/>
  <c r="AD31" i="40"/>
  <c r="AL31" i="40" s="1"/>
  <c r="AD16" i="40"/>
  <c r="AL16" i="40" s="1"/>
  <c r="AD123" i="40"/>
  <c r="Z126" i="40"/>
  <c r="AA104" i="40"/>
  <c r="AM51" i="40"/>
  <c r="I119" i="40"/>
  <c r="I129" i="40"/>
  <c r="AN104" i="40"/>
  <c r="AN142" i="40"/>
  <c r="AN46" i="40"/>
  <c r="AA28" i="40"/>
  <c r="AO23" i="40"/>
  <c r="U134" i="40"/>
  <c r="AB12" i="40"/>
  <c r="AA12" i="40"/>
  <c r="U14" i="40"/>
  <c r="AM12" i="40"/>
  <c r="Z12" i="40"/>
  <c r="AO67" i="40"/>
  <c r="AO71" i="40" s="1"/>
  <c r="AA71" i="40"/>
  <c r="U44" i="40"/>
  <c r="AM39" i="40"/>
  <c r="Z39" i="40"/>
  <c r="Z135" i="40" s="1"/>
  <c r="AA39" i="40"/>
  <c r="AA135" i="40" s="1"/>
  <c r="AB39" i="40"/>
  <c r="AD25" i="40"/>
  <c r="AL25" i="40" s="1"/>
  <c r="I101" i="40"/>
  <c r="AO76" i="40"/>
  <c r="AO78" i="40" s="1"/>
  <c r="AP72" i="40"/>
  <c r="AP74" i="40" s="1"/>
  <c r="AB74" i="40"/>
  <c r="AP38" i="40"/>
  <c r="AR135" i="40"/>
  <c r="U93" i="40"/>
  <c r="AB91" i="40"/>
  <c r="AA91" i="40"/>
  <c r="Z91" i="40"/>
  <c r="AM91" i="40"/>
  <c r="AM93" i="40" s="1"/>
  <c r="AD116" i="40"/>
  <c r="AL116" i="40" s="1"/>
  <c r="AL37" i="40"/>
  <c r="AP18" i="40"/>
  <c r="AP20" i="40" s="1"/>
  <c r="AB20" i="40"/>
  <c r="AO15" i="40"/>
  <c r="AO17" i="40" s="1"/>
  <c r="AA17" i="40"/>
  <c r="AD36" i="40"/>
  <c r="AL36" i="40" s="1"/>
  <c r="AA143" i="40"/>
  <c r="AA22" i="40"/>
  <c r="AO21" i="40"/>
  <c r="AD128" i="40"/>
  <c r="AL128" i="40" s="1"/>
  <c r="AO123" i="40"/>
  <c r="AO126" i="40" s="1"/>
  <c r="AA126" i="40"/>
  <c r="AP71" i="40"/>
  <c r="AD47" i="40"/>
  <c r="Z51" i="40"/>
  <c r="AD118" i="40"/>
  <c r="AL118" i="40" s="1"/>
  <c r="AO129" i="40"/>
  <c r="I85" i="40"/>
  <c r="Z20" i="40"/>
  <c r="AD18" i="40"/>
  <c r="AD42" i="40"/>
  <c r="AL42" i="40" s="1"/>
  <c r="I78" i="40"/>
  <c r="AB71" i="40"/>
  <c r="AB57" i="40"/>
  <c r="U61" i="40"/>
  <c r="AM57" i="40"/>
  <c r="AM61" i="40" s="1"/>
  <c r="Z57" i="40"/>
  <c r="AA57" i="40"/>
  <c r="AP27" i="40"/>
  <c r="AD24" i="40"/>
  <c r="AL24" i="40" s="1"/>
  <c r="Z143" i="40"/>
  <c r="Z22" i="40"/>
  <c r="AL88" i="40"/>
  <c r="I90" i="40"/>
  <c r="AD96" i="40"/>
  <c r="AL96" i="40" s="1"/>
  <c r="Z85" i="40"/>
  <c r="AD82" i="40"/>
  <c r="AL82" i="40" s="1"/>
  <c r="AD43" i="40"/>
  <c r="AL43" i="40" s="1"/>
  <c r="AR137" i="40"/>
  <c r="AO90" i="40"/>
  <c r="Z17" i="40"/>
  <c r="AD15" i="40"/>
  <c r="AB38" i="40"/>
  <c r="Z101" i="40"/>
  <c r="I122" i="40"/>
  <c r="AD121" i="40"/>
  <c r="AL121" i="40" s="1"/>
  <c r="AD127" i="40"/>
  <c r="Z129" i="40"/>
  <c r="AB126" i="40"/>
  <c r="I114" i="40"/>
  <c r="Z104" i="40"/>
  <c r="AD102" i="40"/>
  <c r="AL102" i="40" s="1"/>
  <c r="I93" i="40"/>
  <c r="I104" i="40"/>
  <c r="AL94" i="40"/>
  <c r="I98" i="40"/>
  <c r="K130" i="40"/>
  <c r="D20" i="47" s="1"/>
  <c r="AD95" i="40"/>
  <c r="AL95" i="40" s="1"/>
  <c r="AP85" i="40"/>
  <c r="I66" i="40"/>
  <c r="Z109" i="40"/>
  <c r="I142" i="40"/>
  <c r="AD77" i="40"/>
  <c r="AL77" i="40" s="1"/>
  <c r="AD63" i="40"/>
  <c r="AL63" i="40" s="1"/>
  <c r="I51" i="40"/>
  <c r="I143" i="40"/>
  <c r="I22" i="40"/>
  <c r="AP90" i="40"/>
  <c r="AD72" i="40"/>
  <c r="Z74" i="40"/>
  <c r="AD58" i="40"/>
  <c r="AL58" i="40" s="1"/>
  <c r="I137" i="40"/>
  <c r="AD84" i="40"/>
  <c r="AL84" i="40" s="1"/>
  <c r="AM85" i="40"/>
  <c r="AD59" i="40"/>
  <c r="AL59" i="40" s="1"/>
  <c r="AA38" i="40"/>
  <c r="AD27" i="40"/>
  <c r="AL27" i="40" s="1"/>
  <c r="U135" i="40"/>
  <c r="AD81" i="40"/>
  <c r="AR138" i="40"/>
  <c r="AR28" i="40"/>
  <c r="AA90" i="40"/>
  <c r="AP15" i="40"/>
  <c r="AP17" i="40" s="1"/>
  <c r="AB17" i="40"/>
  <c r="AR134" i="40"/>
  <c r="AP126" i="40"/>
  <c r="Y131" i="40"/>
  <c r="O131" i="40"/>
  <c r="AP109" i="40"/>
  <c r="AD124" i="40"/>
  <c r="AL124" i="40" s="1"/>
  <c r="I109" i="40"/>
  <c r="AO104" i="40"/>
  <c r="AD89" i="40"/>
  <c r="AL89" i="40" s="1"/>
  <c r="AB109" i="40"/>
  <c r="AB87" i="40"/>
  <c r="AP86" i="40"/>
  <c r="AP87" i="40" s="1"/>
  <c r="AN143" i="40"/>
  <c r="AN22" i="40"/>
  <c r="AD67" i="40"/>
  <c r="Z71" i="40"/>
  <c r="Z28" i="40"/>
  <c r="AD23" i="40"/>
  <c r="AM74" i="40"/>
  <c r="AR136" i="40"/>
  <c r="L133" i="40"/>
  <c r="I141" i="40"/>
  <c r="AN134" i="40"/>
  <c r="AN14" i="40"/>
  <c r="AD62" i="40"/>
  <c r="AL62" i="40" s="1"/>
  <c r="AA129" i="40"/>
  <c r="AB65" i="40"/>
  <c r="AP65" i="40" s="1"/>
  <c r="AM65" i="40"/>
  <c r="AM141" i="40" s="1"/>
  <c r="Z65" i="40"/>
  <c r="AA65" i="40"/>
  <c r="AO65" i="40" s="1"/>
  <c r="AO141" i="40" s="1"/>
  <c r="AR142" i="40"/>
  <c r="AR46" i="40"/>
  <c r="AD34" i="40"/>
  <c r="Z38" i="40"/>
  <c r="AD41" i="40"/>
  <c r="AL41" i="40" s="1"/>
  <c r="AM17" i="40"/>
  <c r="AO34" i="40"/>
  <c r="AO38" i="40" s="1"/>
  <c r="AO13" i="39"/>
  <c r="AL18" i="39"/>
  <c r="V98" i="39"/>
  <c r="AB96" i="39"/>
  <c r="I69" i="39"/>
  <c r="Z109" i="39"/>
  <c r="Z37" i="39"/>
  <c r="AD36" i="39"/>
  <c r="AR110" i="39"/>
  <c r="AR13" i="39"/>
  <c r="I79" i="39"/>
  <c r="AA103" i="39"/>
  <c r="AA35" i="39"/>
  <c r="AO17" i="39"/>
  <c r="AN103" i="39"/>
  <c r="AN35" i="39"/>
  <c r="AD20" i="39"/>
  <c r="AM50" i="39"/>
  <c r="AM54" i="39" s="1"/>
  <c r="U54" i="39"/>
  <c r="AB50" i="39"/>
  <c r="AA50" i="39"/>
  <c r="Z50" i="39"/>
  <c r="AM103" i="39"/>
  <c r="AA59" i="39"/>
  <c r="AM79" i="39"/>
  <c r="U74" i="39"/>
  <c r="I30" i="39"/>
  <c r="I92" i="39"/>
  <c r="AB90" i="39"/>
  <c r="AA90" i="39"/>
  <c r="U92" i="39"/>
  <c r="AM90" i="39"/>
  <c r="AM92" i="39" s="1"/>
  <c r="Z90" i="39"/>
  <c r="I89" i="39"/>
  <c r="U64" i="39"/>
  <c r="AA60" i="39"/>
  <c r="Z60" i="39"/>
  <c r="AB60" i="39"/>
  <c r="AB101" i="39" s="1"/>
  <c r="AM60" i="39"/>
  <c r="AM64" i="39" s="1"/>
  <c r="AD77" i="39"/>
  <c r="AL77" i="39" s="1"/>
  <c r="AD68" i="39"/>
  <c r="AP62" i="39"/>
  <c r="AD48" i="39"/>
  <c r="AD49" i="39" s="1"/>
  <c r="Z49" i="39"/>
  <c r="AD38" i="39"/>
  <c r="AD39" i="39" s="1"/>
  <c r="Z39" i="39"/>
  <c r="AD52" i="39"/>
  <c r="AL52" i="39" s="1"/>
  <c r="AL72" i="39"/>
  <c r="AO20" i="39"/>
  <c r="AA17" i="39"/>
  <c r="AP70" i="39"/>
  <c r="I39" i="39"/>
  <c r="AL38" i="39"/>
  <c r="AL39" i="39" s="1"/>
  <c r="Z103" i="39"/>
  <c r="Z35" i="39"/>
  <c r="AN101" i="39"/>
  <c r="AN17" i="39"/>
  <c r="AM17" i="39"/>
  <c r="AA42" i="39"/>
  <c r="AO40" i="39"/>
  <c r="AO42" i="39" s="1"/>
  <c r="AB79" i="39"/>
  <c r="AO70" i="39"/>
  <c r="AB30" i="39"/>
  <c r="AP26" i="39"/>
  <c r="AP30" i="39" s="1"/>
  <c r="AD28" i="39"/>
  <c r="AL28" i="39" s="1"/>
  <c r="AD19" i="39"/>
  <c r="AL19" i="39" s="1"/>
  <c r="AL86" i="39"/>
  <c r="U69" i="39"/>
  <c r="AM65" i="39"/>
  <c r="AM69" i="39" s="1"/>
  <c r="Z65" i="39"/>
  <c r="AB65" i="39"/>
  <c r="AA65" i="39"/>
  <c r="AP79" i="39"/>
  <c r="AD93" i="39"/>
  <c r="Z96" i="39"/>
  <c r="U84" i="39"/>
  <c r="AB80" i="39"/>
  <c r="AA80" i="39"/>
  <c r="AM80" i="39"/>
  <c r="AM84" i="39" s="1"/>
  <c r="Z80" i="39"/>
  <c r="I59" i="39"/>
  <c r="Z59" i="39"/>
  <c r="AD55" i="39"/>
  <c r="AL55" i="39" s="1"/>
  <c r="AR103" i="39"/>
  <c r="AR35" i="39"/>
  <c r="AR101" i="39"/>
  <c r="AR17" i="39"/>
  <c r="AM109" i="39"/>
  <c r="AB17" i="39"/>
  <c r="AO59" i="39"/>
  <c r="K100" i="39"/>
  <c r="U47" i="39"/>
  <c r="AB43" i="39"/>
  <c r="AA43" i="39"/>
  <c r="Z43" i="39"/>
  <c r="Z102" i="39" s="1"/>
  <c r="AM43" i="39"/>
  <c r="AM47" i="39" s="1"/>
  <c r="AD34" i="39"/>
  <c r="AL34" i="39" s="1"/>
  <c r="I103" i="39"/>
  <c r="I35" i="39"/>
  <c r="AD23" i="39"/>
  <c r="AL23" i="39" s="1"/>
  <c r="AD14" i="39"/>
  <c r="AN110" i="39"/>
  <c r="AN13" i="39"/>
  <c r="Z79" i="39"/>
  <c r="AD75" i="39"/>
  <c r="AD94" i="39"/>
  <c r="AL94" i="39" s="1"/>
  <c r="AK84" i="39"/>
  <c r="AM96" i="39"/>
  <c r="AL68" i="39"/>
  <c r="AD57" i="39"/>
  <c r="AL57" i="39" s="1"/>
  <c r="AM59" i="39"/>
  <c r="AP22" i="39"/>
  <c r="Z21" i="39"/>
  <c r="AP14" i="39"/>
  <c r="AR102" i="39"/>
  <c r="AR21" i="39"/>
  <c r="AB13" i="39"/>
  <c r="AL41" i="39"/>
  <c r="AO37" i="39"/>
  <c r="AO21" i="39"/>
  <c r="AR104" i="39"/>
  <c r="AR25" i="39"/>
  <c r="AD12" i="39"/>
  <c r="Z13" i="39"/>
  <c r="AK104" i="39"/>
  <c r="AM30" i="39"/>
  <c r="AP96" i="39"/>
  <c r="AL81" i="39"/>
  <c r="AD78" i="39"/>
  <c r="AL78" i="39" s="1"/>
  <c r="AD66" i="39"/>
  <c r="AL63" i="39"/>
  <c r="AA49" i="39"/>
  <c r="AO48" i="39"/>
  <c r="AO49" i="39" s="1"/>
  <c r="AA24" i="39"/>
  <c r="AO24" i="39" s="1"/>
  <c r="AO25" i="39" s="1"/>
  <c r="AB24" i="39"/>
  <c r="AP24" i="39" s="1"/>
  <c r="Z24" i="39"/>
  <c r="Z108" i="39" s="1"/>
  <c r="AM24" i="39"/>
  <c r="AM108" i="39" s="1"/>
  <c r="AP18" i="39"/>
  <c r="AB21" i="39"/>
  <c r="L100" i="39"/>
  <c r="AP109" i="39"/>
  <c r="AD76" i="39"/>
  <c r="AL76" i="39" s="1"/>
  <c r="AD63" i="39"/>
  <c r="AK102" i="39"/>
  <c r="AP13" i="39"/>
  <c r="AK59" i="39"/>
  <c r="AL46" i="39"/>
  <c r="AO30" i="39"/>
  <c r="AD40" i="39"/>
  <c r="Z42" i="39"/>
  <c r="AB108" i="39"/>
  <c r="AP20" i="39"/>
  <c r="AL83" i="39"/>
  <c r="AD73" i="39"/>
  <c r="AL73" i="39" s="1"/>
  <c r="AO53" i="39"/>
  <c r="Z30" i="39"/>
  <c r="AD26" i="39"/>
  <c r="I101" i="39"/>
  <c r="AM89" i="39"/>
  <c r="Y98" i="39"/>
  <c r="O98" i="39"/>
  <c r="Z89" i="39"/>
  <c r="AD85" i="39"/>
  <c r="AD89" i="39" s="1"/>
  <c r="I84" i="39"/>
  <c r="AD81" i="39"/>
  <c r="AD95" i="39"/>
  <c r="AL95" i="39" s="1"/>
  <c r="AD91" i="39"/>
  <c r="AL91" i="39" s="1"/>
  <c r="AP89" i="39"/>
  <c r="AA96" i="39"/>
  <c r="AL66" i="39"/>
  <c r="I64" i="39"/>
  <c r="O100" i="39"/>
  <c r="AN109" i="39"/>
  <c r="AN37" i="39"/>
  <c r="AM102" i="39"/>
  <c r="AM21" i="39"/>
  <c r="I102" i="39"/>
  <c r="AA71" i="39"/>
  <c r="AO71" i="39" s="1"/>
  <c r="AO104" i="39" s="1"/>
  <c r="AM71" i="39"/>
  <c r="AM104" i="39" s="1"/>
  <c r="AB71" i="39"/>
  <c r="AP71" i="39" s="1"/>
  <c r="Z71" i="39"/>
  <c r="Z104" i="39" s="1"/>
  <c r="I49" i="39"/>
  <c r="AL48" i="39"/>
  <c r="AL49" i="39" s="1"/>
  <c r="AO31" i="39"/>
  <c r="AD22" i="39"/>
  <c r="P100" i="39"/>
  <c r="AA110" i="39"/>
  <c r="AA13" i="39"/>
  <c r="AM42" i="39"/>
  <c r="U108" i="39"/>
  <c r="AA79" i="39"/>
  <c r="AO75" i="39"/>
  <c r="AO79" i="39" s="1"/>
  <c r="Z74" i="39"/>
  <c r="AD70" i="39"/>
  <c r="AA30" i="39"/>
  <c r="I104" i="39"/>
  <c r="I108" i="39"/>
  <c r="AL38" i="41" l="1"/>
  <c r="AR130" i="40"/>
  <c r="AK20" i="47" s="1"/>
  <c r="U98" i="39"/>
  <c r="U100" i="39"/>
  <c r="Z99" i="39" s="1"/>
  <c r="AD23" i="42"/>
  <c r="AM158" i="42"/>
  <c r="AM157" i="42"/>
  <c r="AL32" i="42"/>
  <c r="AL33" i="42" s="1"/>
  <c r="AP126" i="42"/>
  <c r="AD124" i="42"/>
  <c r="AL124" i="42" s="1"/>
  <c r="AL126" i="42" s="1"/>
  <c r="AD133" i="42"/>
  <c r="Z52" i="42"/>
  <c r="Z48" i="42"/>
  <c r="AD115" i="42"/>
  <c r="AB129" i="42"/>
  <c r="AL130" i="42"/>
  <c r="AL133" i="42" s="1"/>
  <c r="AP96" i="41"/>
  <c r="AP98" i="41" s="1"/>
  <c r="AD98" i="41"/>
  <c r="AD102" i="41"/>
  <c r="Z119" i="41"/>
  <c r="AD74" i="41"/>
  <c r="AA46" i="40"/>
  <c r="AO45" i="40"/>
  <c r="AB28" i="40"/>
  <c r="I132" i="40"/>
  <c r="AB46" i="40"/>
  <c r="AD129" i="40"/>
  <c r="AD105" i="40"/>
  <c r="AL105" i="40" s="1"/>
  <c r="AO137" i="40"/>
  <c r="AM156" i="42"/>
  <c r="AO147" i="42"/>
  <c r="AO151" i="42" s="1"/>
  <c r="AA151" i="42"/>
  <c r="AD140" i="42"/>
  <c r="AL140" i="42" s="1"/>
  <c r="AL142" i="42" s="1"/>
  <c r="AD25" i="42"/>
  <c r="U155" i="42"/>
  <c r="Z154" i="42" s="1"/>
  <c r="AL34" i="42"/>
  <c r="AL36" i="42" s="1"/>
  <c r="AB52" i="42"/>
  <c r="AD147" i="42"/>
  <c r="AL147" i="42" s="1"/>
  <c r="AD138" i="42"/>
  <c r="AR152" i="42"/>
  <c r="AK22" i="47" s="1"/>
  <c r="Z64" i="42"/>
  <c r="Z164" i="42"/>
  <c r="AM164" i="42"/>
  <c r="AM64" i="42"/>
  <c r="AM159" i="42"/>
  <c r="Z156" i="42"/>
  <c r="AB156" i="42"/>
  <c r="AD103" i="42"/>
  <c r="AP163" i="42"/>
  <c r="AL77" i="42"/>
  <c r="AB62" i="42"/>
  <c r="AP57" i="42"/>
  <c r="AP62" i="42" s="1"/>
  <c r="Z56" i="42"/>
  <c r="AD53" i="42"/>
  <c r="AD158" i="42" s="1"/>
  <c r="AO78" i="42"/>
  <c r="AO80" i="42" s="1"/>
  <c r="AA80" i="42"/>
  <c r="Z80" i="42"/>
  <c r="AD78" i="42"/>
  <c r="Z62" i="42"/>
  <c r="AD57" i="42"/>
  <c r="U152" i="42"/>
  <c r="AD28" i="42"/>
  <c r="AA142" i="42"/>
  <c r="I154" i="42"/>
  <c r="AO57" i="42"/>
  <c r="AO62" i="42" s="1"/>
  <c r="AA62" i="42"/>
  <c r="AB116" i="42"/>
  <c r="AP115" i="42"/>
  <c r="AP116" i="42" s="1"/>
  <c r="AD77" i="42"/>
  <c r="AB56" i="42"/>
  <c r="AP53" i="42"/>
  <c r="AP56" i="42" s="1"/>
  <c r="AD72" i="42"/>
  <c r="AP158" i="42"/>
  <c r="AL121" i="42"/>
  <c r="AL122" i="42" s="1"/>
  <c r="AD128" i="42"/>
  <c r="AL128" i="42" s="1"/>
  <c r="AB80" i="42"/>
  <c r="AP78" i="42"/>
  <c r="AP80" i="42" s="1"/>
  <c r="AA96" i="42"/>
  <c r="Z157" i="42"/>
  <c r="AN152" i="42"/>
  <c r="AG22" i="47" s="1"/>
  <c r="AD69" i="42"/>
  <c r="AB142" i="42"/>
  <c r="AO53" i="42"/>
  <c r="AO56" i="42" s="1"/>
  <c r="AA56" i="42"/>
  <c r="I153" i="42"/>
  <c r="AL65" i="42"/>
  <c r="AL69" i="42" s="1"/>
  <c r="AD38" i="41"/>
  <c r="I110" i="41"/>
  <c r="I109" i="41"/>
  <c r="D21" i="47"/>
  <c r="U109" i="41"/>
  <c r="H21" i="47"/>
  <c r="AN111" i="41"/>
  <c r="AL98" i="40"/>
  <c r="V131" i="40"/>
  <c r="AB138" i="40"/>
  <c r="AP26" i="40"/>
  <c r="AP138" i="40" s="1"/>
  <c r="U130" i="40"/>
  <c r="Z131" i="40" s="1"/>
  <c r="AD65" i="40"/>
  <c r="AL65" i="40" s="1"/>
  <c r="AL141" i="40" s="1"/>
  <c r="U131" i="40"/>
  <c r="AP21" i="40"/>
  <c r="AB22" i="40"/>
  <c r="AB143" i="40"/>
  <c r="I131" i="40"/>
  <c r="AM143" i="40"/>
  <c r="AA109" i="40"/>
  <c r="AM66" i="40"/>
  <c r="AL26" i="40"/>
  <c r="AL138" i="40" s="1"/>
  <c r="AA51" i="40"/>
  <c r="AO47" i="40"/>
  <c r="AO51" i="40" s="1"/>
  <c r="AD38" i="40"/>
  <c r="AL85" i="40"/>
  <c r="AD21" i="40"/>
  <c r="AL21" i="40" s="1"/>
  <c r="AL143" i="40" s="1"/>
  <c r="AP45" i="40"/>
  <c r="AP142" i="40" s="1"/>
  <c r="AP137" i="40"/>
  <c r="AO52" i="40"/>
  <c r="AO56" i="40" s="1"/>
  <c r="AA56" i="40"/>
  <c r="Z56" i="40"/>
  <c r="AD52" i="40"/>
  <c r="AD99" i="40"/>
  <c r="AD101" i="40" s="1"/>
  <c r="AD51" i="40"/>
  <c r="Z46" i="40"/>
  <c r="AD75" i="40"/>
  <c r="AL75" i="40" s="1"/>
  <c r="AL78" i="40" s="1"/>
  <c r="AB56" i="40"/>
  <c r="AP52" i="40"/>
  <c r="AP56" i="40" s="1"/>
  <c r="AD45" i="40"/>
  <c r="AD142" i="40" s="1"/>
  <c r="AO66" i="40"/>
  <c r="AN130" i="40"/>
  <c r="AG20" i="47" s="1"/>
  <c r="AM137" i="40"/>
  <c r="AB101" i="40"/>
  <c r="AP99" i="40"/>
  <c r="AP101" i="40" s="1"/>
  <c r="AK97" i="39"/>
  <c r="AD19" i="47" s="1"/>
  <c r="U97" i="39"/>
  <c r="N19" i="47" s="1"/>
  <c r="AR97" i="39"/>
  <c r="AK19" i="47" s="1"/>
  <c r="AP35" i="39"/>
  <c r="AO109" i="39"/>
  <c r="Z25" i="39"/>
  <c r="AO110" i="39"/>
  <c r="I98" i="39"/>
  <c r="AM110" i="39"/>
  <c r="Z98" i="39"/>
  <c r="AD31" i="39"/>
  <c r="AL31" i="39" s="1"/>
  <c r="AP38" i="39"/>
  <c r="AP39" i="39" s="1"/>
  <c r="AP103" i="39"/>
  <c r="AB35" i="39"/>
  <c r="AN97" i="39"/>
  <c r="AG19" i="47" s="1"/>
  <c r="AB110" i="39"/>
  <c r="AM101" i="39"/>
  <c r="AB103" i="39"/>
  <c r="AO108" i="39"/>
  <c r="I111" i="41"/>
  <c r="I108" i="41"/>
  <c r="B21" i="47" s="1"/>
  <c r="I133" i="40"/>
  <c r="AL43" i="42"/>
  <c r="AL99" i="42"/>
  <c r="V153" i="42"/>
  <c r="U153" i="42"/>
  <c r="AD19" i="42"/>
  <c r="AL28" i="42"/>
  <c r="AO165" i="42"/>
  <c r="AO38" i="42"/>
  <c r="AA52" i="42"/>
  <c r="AD50" i="42"/>
  <c r="AL50" i="42" s="1"/>
  <c r="AL52" i="42" s="1"/>
  <c r="AL29" i="42"/>
  <c r="AL31" i="42" s="1"/>
  <c r="AD84" i="42"/>
  <c r="AL81" i="42"/>
  <c r="AL84" i="42" s="1"/>
  <c r="AO159" i="42"/>
  <c r="AO52" i="42"/>
  <c r="AD165" i="42"/>
  <c r="AD38" i="42"/>
  <c r="AL100" i="42"/>
  <c r="AL103" i="42" s="1"/>
  <c r="AD146" i="42"/>
  <c r="AL143" i="42"/>
  <c r="AL146" i="42" s="1"/>
  <c r="Z159" i="42"/>
  <c r="AD94" i="42"/>
  <c r="AL94" i="42" s="1"/>
  <c r="AO19" i="42"/>
  <c r="AB114" i="42"/>
  <c r="AP110" i="42"/>
  <c r="AP114" i="42" s="1"/>
  <c r="AL90" i="42"/>
  <c r="AL92" i="42" s="1"/>
  <c r="I152" i="42"/>
  <c r="B22" i="47" s="1"/>
  <c r="AO129" i="42"/>
  <c r="AN155" i="42"/>
  <c r="AA109" i="42"/>
  <c r="AO107" i="42"/>
  <c r="AO109" i="42" s="1"/>
  <c r="AA159" i="42"/>
  <c r="AL163" i="42"/>
  <c r="AD106" i="42"/>
  <c r="AL104" i="42"/>
  <c r="AL106" i="42" s="1"/>
  <c r="AD163" i="42"/>
  <c r="AD120" i="42"/>
  <c r="AL117" i="42"/>
  <c r="AL120" i="42" s="1"/>
  <c r="AL134" i="42"/>
  <c r="AL138" i="42" s="1"/>
  <c r="AL12" i="42"/>
  <c r="AD43" i="42"/>
  <c r="AD116" i="42"/>
  <c r="AL115" i="42"/>
  <c r="AL116" i="42" s="1"/>
  <c r="AM52" i="42"/>
  <c r="AA114" i="42"/>
  <c r="AO110" i="42"/>
  <c r="AO114" i="42" s="1"/>
  <c r="AL93" i="42"/>
  <c r="AL96" i="42" s="1"/>
  <c r="AP43" i="42"/>
  <c r="AP94" i="42"/>
  <c r="AP96" i="42" s="1"/>
  <c r="AB96" i="42"/>
  <c r="I155" i="42"/>
  <c r="AD22" i="42"/>
  <c r="AB109" i="42"/>
  <c r="AP107" i="42"/>
  <c r="AL165" i="42"/>
  <c r="AL38" i="42"/>
  <c r="AO164" i="42"/>
  <c r="AO64" i="42"/>
  <c r="AD99" i="42"/>
  <c r="AL127" i="42"/>
  <c r="AD52" i="42"/>
  <c r="AL22" i="42"/>
  <c r="AD89" i="42"/>
  <c r="AL85" i="42"/>
  <c r="AL89" i="42" s="1"/>
  <c r="AR155" i="42"/>
  <c r="AL14" i="42"/>
  <c r="AL23" i="42"/>
  <c r="AL25" i="42" s="1"/>
  <c r="AA156" i="42"/>
  <c r="AD107" i="42"/>
  <c r="Z109" i="42"/>
  <c r="AP165" i="42"/>
  <c r="AP38" i="42"/>
  <c r="AD164" i="42"/>
  <c r="AD64" i="42"/>
  <c r="AL63" i="42"/>
  <c r="AB159" i="42"/>
  <c r="Z129" i="42"/>
  <c r="AD110" i="42"/>
  <c r="Z114" i="42"/>
  <c r="AL151" i="42"/>
  <c r="AA129" i="42"/>
  <c r="AD48" i="42"/>
  <c r="AL44" i="42"/>
  <c r="AL48" i="42" s="1"/>
  <c r="AL49" i="41"/>
  <c r="AB112" i="41"/>
  <c r="AB15" i="41"/>
  <c r="AP12" i="41"/>
  <c r="Z113" i="41"/>
  <c r="Z20" i="41"/>
  <c r="AD16" i="41"/>
  <c r="Z112" i="41"/>
  <c r="Z15" i="41"/>
  <c r="AD12" i="41"/>
  <c r="AD119" i="41"/>
  <c r="AL19" i="41"/>
  <c r="AL119" i="41" s="1"/>
  <c r="AL96" i="41"/>
  <c r="AL98" i="41" s="1"/>
  <c r="AL99" i="41"/>
  <c r="AL102" i="41" s="1"/>
  <c r="AA115" i="41"/>
  <c r="AO30" i="41"/>
  <c r="AA33" i="41"/>
  <c r="AL50" i="41"/>
  <c r="AL51" i="41" s="1"/>
  <c r="AA113" i="41"/>
  <c r="AA20" i="41"/>
  <c r="AO16" i="41"/>
  <c r="AD43" i="41"/>
  <c r="U108" i="41"/>
  <c r="AA121" i="41"/>
  <c r="AO82" i="41"/>
  <c r="AO121" i="41" s="1"/>
  <c r="AM120" i="41"/>
  <c r="AM28" i="41"/>
  <c r="AD54" i="41"/>
  <c r="AL88" i="41"/>
  <c r="AD22" i="41"/>
  <c r="Z26" i="41"/>
  <c r="AB115" i="41"/>
  <c r="AB33" i="41"/>
  <c r="AP30" i="41"/>
  <c r="AA67" i="41"/>
  <c r="AO65" i="41"/>
  <c r="AO67" i="41" s="1"/>
  <c r="AL71" i="41"/>
  <c r="AL74" i="41" s="1"/>
  <c r="AD107" i="41"/>
  <c r="AL103" i="41"/>
  <c r="AL107" i="41" s="1"/>
  <c r="AA59" i="41"/>
  <c r="AO55" i="41"/>
  <c r="AO59" i="41" s="1"/>
  <c r="AB113" i="41"/>
  <c r="AB20" i="41"/>
  <c r="AP16" i="41"/>
  <c r="U111" i="41"/>
  <c r="Z110" i="41" s="1"/>
  <c r="AA83" i="41"/>
  <c r="AO78" i="41"/>
  <c r="AB121" i="41"/>
  <c r="AP82" i="41"/>
  <c r="AP121" i="41" s="1"/>
  <c r="Z120" i="41"/>
  <c r="Z28" i="41"/>
  <c r="AD27" i="41"/>
  <c r="AD77" i="41"/>
  <c r="AD64" i="41"/>
  <c r="AA26" i="41"/>
  <c r="AO22" i="41"/>
  <c r="AO26" i="41" s="1"/>
  <c r="AD65" i="41"/>
  <c r="Z67" i="41"/>
  <c r="AD88" i="41"/>
  <c r="AA112" i="41"/>
  <c r="AA15" i="41"/>
  <c r="AO12" i="41"/>
  <c r="AD95" i="41"/>
  <c r="AL89" i="41"/>
  <c r="AL95" i="41" s="1"/>
  <c r="AL54" i="41"/>
  <c r="AB83" i="41"/>
  <c r="AP78" i="41"/>
  <c r="Z121" i="41"/>
  <c r="AD82" i="41"/>
  <c r="AA120" i="41"/>
  <c r="AA28" i="41"/>
  <c r="AO27" i="41"/>
  <c r="AL39" i="41"/>
  <c r="AL43" i="41" s="1"/>
  <c r="AP22" i="41"/>
  <c r="AP26" i="41" s="1"/>
  <c r="AB26" i="41"/>
  <c r="AL64" i="41"/>
  <c r="Z83" i="41"/>
  <c r="AD78" i="41"/>
  <c r="AB120" i="41"/>
  <c r="AB28" i="41"/>
  <c r="AP27" i="41"/>
  <c r="AR108" i="41"/>
  <c r="AK21" i="47" s="1"/>
  <c r="AL77" i="41"/>
  <c r="AM115" i="41"/>
  <c r="AM33" i="41"/>
  <c r="AD70" i="41"/>
  <c r="AP55" i="41"/>
  <c r="AP59" i="41" s="1"/>
  <c r="AB59" i="41"/>
  <c r="Z59" i="41"/>
  <c r="AD55" i="41"/>
  <c r="AM113" i="41"/>
  <c r="AM20" i="41"/>
  <c r="AM112" i="41"/>
  <c r="AM15" i="41"/>
  <c r="AD49" i="41"/>
  <c r="AM83" i="41"/>
  <c r="AR111" i="41"/>
  <c r="Z115" i="41"/>
  <c r="AD30" i="41"/>
  <c r="Z33" i="41"/>
  <c r="AL68" i="41"/>
  <c r="AL70" i="41" s="1"/>
  <c r="AP65" i="41"/>
  <c r="AP67" i="41" s="1"/>
  <c r="AB67" i="41"/>
  <c r="AL104" i="40"/>
  <c r="AD74" i="40"/>
  <c r="AL72" i="40"/>
  <c r="AL74" i="40" s="1"/>
  <c r="AA61" i="40"/>
  <c r="AO57" i="40"/>
  <c r="AO61" i="40" s="1"/>
  <c r="AB93" i="40"/>
  <c r="AP91" i="40"/>
  <c r="AP93" i="40" s="1"/>
  <c r="AB141" i="40"/>
  <c r="AA66" i="40"/>
  <c r="AA122" i="40"/>
  <c r="AO120" i="40"/>
  <c r="AO122" i="40" s="1"/>
  <c r="AA137" i="40"/>
  <c r="AA136" i="40"/>
  <c r="AA33" i="40"/>
  <c r="AO29" i="40"/>
  <c r="AA141" i="40"/>
  <c r="AA93" i="40"/>
  <c r="AO91" i="40"/>
  <c r="AO93" i="40" s="1"/>
  <c r="Z119" i="40"/>
  <c r="AD115" i="40"/>
  <c r="Z114" i="40"/>
  <c r="AD110" i="40"/>
  <c r="AL90" i="40"/>
  <c r="Z66" i="40"/>
  <c r="AD17" i="40"/>
  <c r="AL15" i="40"/>
  <c r="AL17" i="40" s="1"/>
  <c r="Z61" i="40"/>
  <c r="AD57" i="40"/>
  <c r="AB137" i="40"/>
  <c r="AB44" i="40"/>
  <c r="AP39" i="40"/>
  <c r="AB135" i="40"/>
  <c r="AP66" i="40"/>
  <c r="AA134" i="40"/>
  <c r="AO12" i="40"/>
  <c r="AA14" i="40"/>
  <c r="AD46" i="40"/>
  <c r="AD64" i="40"/>
  <c r="AL64" i="40" s="1"/>
  <c r="Z137" i="40"/>
  <c r="AB122" i="40"/>
  <c r="AP120" i="40"/>
  <c r="AP122" i="40" s="1"/>
  <c r="Z136" i="40"/>
  <c r="Z33" i="40"/>
  <c r="AD29" i="40"/>
  <c r="AD28" i="40"/>
  <c r="AP141" i="40"/>
  <c r="AM134" i="40"/>
  <c r="AM14" i="40"/>
  <c r="AL109" i="40"/>
  <c r="Z141" i="40"/>
  <c r="AA44" i="40"/>
  <c r="AO39" i="40"/>
  <c r="AO44" i="40" s="1"/>
  <c r="AB134" i="40"/>
  <c r="AB14" i="40"/>
  <c r="AP12" i="40"/>
  <c r="AO142" i="40"/>
  <c r="AO46" i="40"/>
  <c r="AA119" i="40"/>
  <c r="AO115" i="40"/>
  <c r="AO119" i="40" s="1"/>
  <c r="AL23" i="40"/>
  <c r="AB66" i="40"/>
  <c r="AD20" i="40"/>
  <c r="AL18" i="40"/>
  <c r="AL20" i="40" s="1"/>
  <c r="U133" i="40"/>
  <c r="Z132" i="40" s="1"/>
  <c r="AL127" i="40"/>
  <c r="AL129" i="40" s="1"/>
  <c r="AD90" i="40"/>
  <c r="AD98" i="40"/>
  <c r="AD120" i="40"/>
  <c r="Z122" i="40"/>
  <c r="AB114" i="40"/>
  <c r="AP110" i="40"/>
  <c r="AP114" i="40" s="1"/>
  <c r="AM136" i="40"/>
  <c r="AM33" i="40"/>
  <c r="Z44" i="40"/>
  <c r="AD39" i="40"/>
  <c r="AN133" i="40"/>
  <c r="AD71" i="40"/>
  <c r="AL67" i="40"/>
  <c r="AL71" i="40" s="1"/>
  <c r="AR133" i="40"/>
  <c r="AL47" i="40"/>
  <c r="AL51" i="40" s="1"/>
  <c r="AD104" i="40"/>
  <c r="AD85" i="40"/>
  <c r="AB61" i="40"/>
  <c r="AP57" i="40"/>
  <c r="AP61" i="40" s="1"/>
  <c r="AO143" i="40"/>
  <c r="AO22" i="40"/>
  <c r="Z93" i="40"/>
  <c r="AD91" i="40"/>
  <c r="AM44" i="40"/>
  <c r="AM135" i="40"/>
  <c r="Z134" i="40"/>
  <c r="AD12" i="40"/>
  <c r="Z14" i="40"/>
  <c r="AO28" i="40"/>
  <c r="I130" i="40"/>
  <c r="B20" i="47" s="1"/>
  <c r="AD126" i="40"/>
  <c r="AL123" i="40"/>
  <c r="AL126" i="40" s="1"/>
  <c r="AB119" i="40"/>
  <c r="AP115" i="40"/>
  <c r="AP119" i="40" s="1"/>
  <c r="AA114" i="40"/>
  <c r="AO110" i="40"/>
  <c r="AO114" i="40" s="1"/>
  <c r="AL34" i="40"/>
  <c r="AL38" i="40" s="1"/>
  <c r="AB136" i="40"/>
  <c r="AB33" i="40"/>
  <c r="AP29" i="40"/>
  <c r="AL59" i="39"/>
  <c r="AP17" i="39"/>
  <c r="AB47" i="39"/>
  <c r="AP43" i="39"/>
  <c r="AP47" i="39" s="1"/>
  <c r="AB25" i="39"/>
  <c r="AA69" i="39"/>
  <c r="AO65" i="39"/>
  <c r="AO69" i="39" s="1"/>
  <c r="AB64" i="39"/>
  <c r="AP60" i="39"/>
  <c r="AP64" i="39" s="1"/>
  <c r="Z92" i="39"/>
  <c r="AD90" i="39"/>
  <c r="AL22" i="39"/>
  <c r="AP110" i="39"/>
  <c r="AA25" i="39"/>
  <c r="AB104" i="39"/>
  <c r="AB69" i="39"/>
  <c r="AP65" i="39"/>
  <c r="AP69" i="39" s="1"/>
  <c r="AN100" i="39"/>
  <c r="AP74" i="39"/>
  <c r="Z64" i="39"/>
  <c r="AD60" i="39"/>
  <c r="I97" i="39"/>
  <c r="B19" i="47" s="1"/>
  <c r="AD71" i="39"/>
  <c r="AL71" i="39" s="1"/>
  <c r="AM74" i="39"/>
  <c r="AD42" i="39"/>
  <c r="AL40" i="39"/>
  <c r="AL42" i="39" s="1"/>
  <c r="AK100" i="39"/>
  <c r="AP102" i="39"/>
  <c r="AP21" i="39"/>
  <c r="AD110" i="39"/>
  <c r="AD13" i="39"/>
  <c r="AL12" i="39"/>
  <c r="AP104" i="39"/>
  <c r="AP25" i="39"/>
  <c r="AD17" i="39"/>
  <c r="AL14" i="39"/>
  <c r="I99" i="39"/>
  <c r="AA104" i="39"/>
  <c r="Z84" i="39"/>
  <c r="AD80" i="39"/>
  <c r="AD96" i="39"/>
  <c r="AL93" i="39"/>
  <c r="AL96" i="39" s="1"/>
  <c r="Z69" i="39"/>
  <c r="AD65" i="39"/>
  <c r="AB74" i="39"/>
  <c r="AA64" i="39"/>
  <c r="AO60" i="39"/>
  <c r="AO64" i="39" s="1"/>
  <c r="AL20" i="39"/>
  <c r="AA108" i="39"/>
  <c r="AL70" i="39"/>
  <c r="AO103" i="39"/>
  <c r="AO35" i="39"/>
  <c r="AB102" i="39"/>
  <c r="AD79" i="39"/>
  <c r="Z101" i="39"/>
  <c r="Z100" i="39" s="1"/>
  <c r="AD103" i="39"/>
  <c r="AD35" i="39"/>
  <c r="AA92" i="39"/>
  <c r="AO90" i="39"/>
  <c r="AO92" i="39" s="1"/>
  <c r="Z54" i="39"/>
  <c r="AD50" i="39"/>
  <c r="AD21" i="39"/>
  <c r="I100" i="39"/>
  <c r="AM25" i="39"/>
  <c r="AM97" i="39" s="1"/>
  <c r="AF19" i="47" s="1"/>
  <c r="Z47" i="39"/>
  <c r="AD43" i="39"/>
  <c r="AD102" i="39" s="1"/>
  <c r="AD59" i="39"/>
  <c r="AA84" i="39"/>
  <c r="AO80" i="39"/>
  <c r="AO84" i="39" s="1"/>
  <c r="AA74" i="39"/>
  <c r="AA97" i="39" s="1"/>
  <c r="T19" i="47" s="1"/>
  <c r="AM100" i="39"/>
  <c r="AA101" i="39"/>
  <c r="AL85" i="39"/>
  <c r="AL89" i="39" s="1"/>
  <c r="AB92" i="39"/>
  <c r="AP90" i="39"/>
  <c r="AP92" i="39" s="1"/>
  <c r="AA54" i="39"/>
  <c r="AO50" i="39"/>
  <c r="AO54" i="39" s="1"/>
  <c r="AD109" i="39"/>
  <c r="AD37" i="39"/>
  <c r="AL36" i="39"/>
  <c r="U99" i="39"/>
  <c r="AD30" i="39"/>
  <c r="AL26" i="39"/>
  <c r="AL30" i="39" s="1"/>
  <c r="AP108" i="39"/>
  <c r="AD24" i="39"/>
  <c r="AL24" i="39" s="1"/>
  <c r="AL103" i="39"/>
  <c r="AL35" i="39"/>
  <c r="AA47" i="39"/>
  <c r="AO43" i="39"/>
  <c r="AA102" i="39"/>
  <c r="AR100" i="39"/>
  <c r="AB84" i="39"/>
  <c r="AP80" i="39"/>
  <c r="AP84" i="39" s="1"/>
  <c r="AO74" i="39"/>
  <c r="AB54" i="39"/>
  <c r="AP50" i="39"/>
  <c r="AP54" i="39" s="1"/>
  <c r="AL75" i="39"/>
  <c r="AL79" i="39" s="1"/>
  <c r="AB155" i="42" l="1"/>
  <c r="AB100" i="39"/>
  <c r="AD126" i="42"/>
  <c r="AM152" i="42"/>
  <c r="AF22" i="47" s="1"/>
  <c r="AD142" i="42"/>
  <c r="AO157" i="42"/>
  <c r="AP157" i="42"/>
  <c r="AD159" i="42"/>
  <c r="AP46" i="40"/>
  <c r="AD78" i="40"/>
  <c r="AD109" i="40"/>
  <c r="AL66" i="40"/>
  <c r="AL137" i="40"/>
  <c r="AD141" i="40"/>
  <c r="AL45" i="40"/>
  <c r="AL129" i="42"/>
  <c r="AD129" i="42"/>
  <c r="Z155" i="42"/>
  <c r="AM155" i="42"/>
  <c r="AD151" i="42"/>
  <c r="AL57" i="42"/>
  <c r="AL62" i="42" s="1"/>
  <c r="AD62" i="42"/>
  <c r="AA152" i="42"/>
  <c r="T22" i="47" s="1"/>
  <c r="AD80" i="42"/>
  <c r="AL78" i="42"/>
  <c r="AL80" i="42" s="1"/>
  <c r="Z152" i="42"/>
  <c r="S22" i="47" s="1"/>
  <c r="AP159" i="42"/>
  <c r="AO152" i="42"/>
  <c r="AH22" i="47" s="1"/>
  <c r="AB152" i="42"/>
  <c r="U22" i="47" s="1"/>
  <c r="Z153" i="42"/>
  <c r="N22" i="47"/>
  <c r="AA155" i="42"/>
  <c r="AD157" i="42"/>
  <c r="AL53" i="42"/>
  <c r="AL56" i="42" s="1"/>
  <c r="AD56" i="42"/>
  <c r="AO158" i="42"/>
  <c r="AP83" i="41"/>
  <c r="Z109" i="41"/>
  <c r="N21" i="47"/>
  <c r="AA108" i="41"/>
  <c r="T21" i="47" s="1"/>
  <c r="AO135" i="40"/>
  <c r="Z130" i="40"/>
  <c r="S20" i="47" s="1"/>
  <c r="N20" i="47"/>
  <c r="AD66" i="40"/>
  <c r="AP28" i="40"/>
  <c r="AL99" i="40"/>
  <c r="AL101" i="40" s="1"/>
  <c r="AM133" i="40"/>
  <c r="AL22" i="40"/>
  <c r="AL52" i="40"/>
  <c r="AL56" i="40" s="1"/>
  <c r="AD56" i="40"/>
  <c r="AA130" i="40"/>
  <c r="T20" i="47" s="1"/>
  <c r="AD22" i="40"/>
  <c r="AD137" i="40"/>
  <c r="AP143" i="40"/>
  <c r="AP22" i="40"/>
  <c r="AD143" i="40"/>
  <c r="AB130" i="40"/>
  <c r="U20" i="47" s="1"/>
  <c r="AM130" i="40"/>
  <c r="AF20" i="47" s="1"/>
  <c r="AP97" i="39"/>
  <c r="AI19" i="47" s="1"/>
  <c r="AD104" i="39"/>
  <c r="AD74" i="39"/>
  <c r="AL74" i="39"/>
  <c r="AB97" i="39"/>
  <c r="U19" i="47" s="1"/>
  <c r="AD25" i="39"/>
  <c r="AD108" i="39"/>
  <c r="AL108" i="39"/>
  <c r="Z97" i="39"/>
  <c r="S19" i="47" s="1"/>
  <c r="AD109" i="42"/>
  <c r="AL107" i="42"/>
  <c r="AL109" i="42" s="1"/>
  <c r="AD114" i="42"/>
  <c r="AL110" i="42"/>
  <c r="AL114" i="42" s="1"/>
  <c r="AD96" i="42"/>
  <c r="AP109" i="42"/>
  <c r="AP152" i="42" s="1"/>
  <c r="AI22" i="47" s="1"/>
  <c r="AP156" i="42"/>
  <c r="AL19" i="42"/>
  <c r="AD156" i="42"/>
  <c r="AO156" i="42"/>
  <c r="AL164" i="42"/>
  <c r="AL64" i="42"/>
  <c r="AL159" i="42"/>
  <c r="AL157" i="42"/>
  <c r="AO120" i="41"/>
  <c r="AO28" i="41"/>
  <c r="AD26" i="41"/>
  <c r="AL22" i="41"/>
  <c r="AL26" i="41" s="1"/>
  <c r="Z111" i="41"/>
  <c r="AA111" i="41"/>
  <c r="AM108" i="41"/>
  <c r="AF21" i="47" s="1"/>
  <c r="AO83" i="41"/>
  <c r="AD115" i="41"/>
  <c r="AD33" i="41"/>
  <c r="AL30" i="41"/>
  <c r="AM111" i="41"/>
  <c r="AP120" i="41"/>
  <c r="AP28" i="41"/>
  <c r="AD121" i="41"/>
  <c r="AL82" i="41"/>
  <c r="AL121" i="41" s="1"/>
  <c r="AD67" i="41"/>
  <c r="AL65" i="41"/>
  <c r="AL67" i="41" s="1"/>
  <c r="AD120" i="41"/>
  <c r="AD28" i="41"/>
  <c r="AL27" i="41"/>
  <c r="AP115" i="41"/>
  <c r="AP33" i="41"/>
  <c r="AO115" i="41"/>
  <c r="AO33" i="41"/>
  <c r="AD112" i="41"/>
  <c r="AD15" i="41"/>
  <c r="AL12" i="41"/>
  <c r="AP112" i="41"/>
  <c r="AP15" i="41"/>
  <c r="AO112" i="41"/>
  <c r="AO15" i="41"/>
  <c r="AO113" i="41"/>
  <c r="AO20" i="41"/>
  <c r="Z108" i="41"/>
  <c r="AB108" i="41"/>
  <c r="U21" i="47" s="1"/>
  <c r="AP113" i="41"/>
  <c r="AP20" i="41"/>
  <c r="AB111" i="41"/>
  <c r="AD59" i="41"/>
  <c r="AL55" i="41"/>
  <c r="AL59" i="41" s="1"/>
  <c r="AD83" i="41"/>
  <c r="AL78" i="41"/>
  <c r="AD113" i="41"/>
  <c r="AD20" i="41"/>
  <c r="AL16" i="41"/>
  <c r="AD93" i="40"/>
  <c r="AL91" i="40"/>
  <c r="AL93" i="40" s="1"/>
  <c r="AP134" i="40"/>
  <c r="AP14" i="40"/>
  <c r="AD61" i="40"/>
  <c r="AL57" i="40"/>
  <c r="AL61" i="40" s="1"/>
  <c r="AD44" i="40"/>
  <c r="AL39" i="40"/>
  <c r="AL44" i="40" s="1"/>
  <c r="AD134" i="40"/>
  <c r="AD14" i="40"/>
  <c r="AL12" i="40"/>
  <c r="AD122" i="40"/>
  <c r="AL120" i="40"/>
  <c r="AL122" i="40" s="1"/>
  <c r="AD135" i="40"/>
  <c r="AD136" i="40"/>
  <c r="AD33" i="40"/>
  <c r="AL29" i="40"/>
  <c r="AA133" i="40"/>
  <c r="AD119" i="40"/>
  <c r="AL115" i="40"/>
  <c r="AL119" i="40" s="1"/>
  <c r="AL142" i="40"/>
  <c r="AL46" i="40"/>
  <c r="AP44" i="40"/>
  <c r="AP135" i="40"/>
  <c r="AB133" i="40"/>
  <c r="AD114" i="40"/>
  <c r="AL110" i="40"/>
  <c r="AL114" i="40" s="1"/>
  <c r="AL28" i="40"/>
  <c r="AP136" i="40"/>
  <c r="AP33" i="40"/>
  <c r="Z133" i="40"/>
  <c r="AO134" i="40"/>
  <c r="AO14" i="40"/>
  <c r="AO136" i="40"/>
  <c r="AO33" i="40"/>
  <c r="AD98" i="39"/>
  <c r="AL110" i="39"/>
  <c r="AL13" i="39"/>
  <c r="AD54" i="39"/>
  <c r="AL50" i="39"/>
  <c r="AL54" i="39" s="1"/>
  <c r="AD92" i="39"/>
  <c r="AL90" i="39"/>
  <c r="AL92" i="39" s="1"/>
  <c r="AL109" i="39"/>
  <c r="AL37" i="39"/>
  <c r="AO97" i="39"/>
  <c r="AL21" i="39"/>
  <c r="AD84" i="39"/>
  <c r="AL80" i="39"/>
  <c r="AL84" i="39" s="1"/>
  <c r="AD101" i="39"/>
  <c r="AO47" i="39"/>
  <c r="AO102" i="39"/>
  <c r="AA100" i="39"/>
  <c r="AD99" i="39" s="1"/>
  <c r="AD47" i="39"/>
  <c r="AL43" i="39"/>
  <c r="AD69" i="39"/>
  <c r="AL65" i="39"/>
  <c r="AL69" i="39" s="1"/>
  <c r="AO101" i="39"/>
  <c r="AL104" i="39"/>
  <c r="AL25" i="39"/>
  <c r="AP101" i="39"/>
  <c r="AP100" i="39" s="1"/>
  <c r="AL17" i="39"/>
  <c r="AD64" i="39"/>
  <c r="AL60" i="39"/>
  <c r="AL64" i="39" s="1"/>
  <c r="AD154" i="42" l="1"/>
  <c r="AD100" i="39"/>
  <c r="AD131" i="40"/>
  <c r="AD153" i="42"/>
  <c r="AL152" i="42"/>
  <c r="AE22" i="47" s="1"/>
  <c r="AO155" i="42"/>
  <c r="AD155" i="42"/>
  <c r="AP155" i="42"/>
  <c r="AL154" i="42" s="1"/>
  <c r="AL153" i="42"/>
  <c r="AD152" i="42"/>
  <c r="W22" i="47" s="1"/>
  <c r="AL158" i="42"/>
  <c r="AL83" i="41"/>
  <c r="AD109" i="41"/>
  <c r="S21" i="47"/>
  <c r="AO108" i="41"/>
  <c r="AH21" i="47" s="1"/>
  <c r="AD132" i="40"/>
  <c r="AP130" i="40"/>
  <c r="AI20" i="47" s="1"/>
  <c r="AO130" i="40"/>
  <c r="AH20" i="47" s="1"/>
  <c r="AD130" i="40"/>
  <c r="W20" i="47" s="1"/>
  <c r="AO100" i="39"/>
  <c r="AL99" i="39" s="1"/>
  <c r="AD97" i="39"/>
  <c r="W19" i="47" s="1"/>
  <c r="AL98" i="39"/>
  <c r="AH19" i="47"/>
  <c r="AL101" i="39"/>
  <c r="AL156" i="42"/>
  <c r="AD108" i="41"/>
  <c r="W21" i="47" s="1"/>
  <c r="AP108" i="41"/>
  <c r="AL120" i="41"/>
  <c r="AL28" i="41"/>
  <c r="AD111" i="41"/>
  <c r="AP111" i="41"/>
  <c r="AL115" i="41"/>
  <c r="AL33" i="41"/>
  <c r="AD110" i="41"/>
  <c r="AL113" i="41"/>
  <c r="AL20" i="41"/>
  <c r="AL112" i="41"/>
  <c r="AL15" i="41"/>
  <c r="AO111" i="41"/>
  <c r="AL136" i="40"/>
  <c r="AL33" i="40"/>
  <c r="AL134" i="40"/>
  <c r="AL14" i="40"/>
  <c r="AD133" i="40"/>
  <c r="AP133" i="40"/>
  <c r="AL135" i="40"/>
  <c r="AO133" i="40"/>
  <c r="AL47" i="39"/>
  <c r="AL97" i="39" s="1"/>
  <c r="AE19" i="47" s="1"/>
  <c r="AL102" i="39"/>
  <c r="AL110" i="41" l="1"/>
  <c r="AL155" i="42"/>
  <c r="AL108" i="41"/>
  <c r="AE21" i="47" s="1"/>
  <c r="AL109" i="41"/>
  <c r="AI21" i="47"/>
  <c r="AL132" i="40"/>
  <c r="AL131" i="40"/>
  <c r="AL100" i="39"/>
  <c r="AL130" i="40"/>
  <c r="AE20" i="47" s="1"/>
  <c r="AL111" i="41"/>
  <c r="AL133" i="40"/>
  <c r="L238" i="48" l="1"/>
  <c r="L239" i="48" s="1"/>
  <c r="K238" i="48"/>
  <c r="K239" i="48" s="1"/>
  <c r="L157" i="48"/>
  <c r="L158" i="48" s="1"/>
  <c r="K157" i="48"/>
  <c r="K158" i="48" s="1"/>
  <c r="L140" i="48"/>
  <c r="L141" i="48" s="1"/>
  <c r="K140" i="48"/>
  <c r="L259" i="48"/>
  <c r="L260" i="48" s="1"/>
  <c r="K259" i="48"/>
  <c r="K260" i="48" s="1"/>
  <c r="L171" i="48"/>
  <c r="L172" i="48" s="1"/>
  <c r="K171" i="48"/>
  <c r="K172" i="48" s="1"/>
  <c r="L12" i="48"/>
  <c r="L13" i="48" s="1"/>
  <c r="K12" i="48"/>
  <c r="L96" i="44"/>
  <c r="L80" i="44"/>
  <c r="L23" i="44"/>
  <c r="L24" i="44" s="1"/>
  <c r="K96" i="44"/>
  <c r="K97" i="44" s="1"/>
  <c r="K80" i="44"/>
  <c r="K81" i="44" s="1"/>
  <c r="K23" i="44"/>
  <c r="AE102" i="44"/>
  <c r="AE97" i="44"/>
  <c r="AE89" i="44"/>
  <c r="AE87" i="44"/>
  <c r="AE81" i="44"/>
  <c r="AE79" i="44"/>
  <c r="AE76" i="44"/>
  <c r="AE71" i="44"/>
  <c r="AE68" i="44"/>
  <c r="AE65" i="44"/>
  <c r="AE60" i="44"/>
  <c r="AE55" i="44"/>
  <c r="AE49" i="44"/>
  <c r="AE44" i="44"/>
  <c r="AE39" i="44"/>
  <c r="AE34" i="44"/>
  <c r="AE29" i="44"/>
  <c r="AE24" i="44"/>
  <c r="AE16" i="44"/>
  <c r="V102" i="44"/>
  <c r="V97" i="44"/>
  <c r="V89" i="44"/>
  <c r="V87" i="44"/>
  <c r="V81" i="44"/>
  <c r="V79" i="44"/>
  <c r="V76" i="44"/>
  <c r="V71" i="44"/>
  <c r="V68" i="44"/>
  <c r="V65" i="44"/>
  <c r="V60" i="44"/>
  <c r="V55" i="44"/>
  <c r="V49" i="44"/>
  <c r="V44" i="44"/>
  <c r="V39" i="44"/>
  <c r="V34" i="44"/>
  <c r="V29" i="44"/>
  <c r="V24" i="44"/>
  <c r="V16" i="44"/>
  <c r="AQ217" i="48"/>
  <c r="AK217" i="48"/>
  <c r="AR217" i="48" s="1"/>
  <c r="Y217" i="48"/>
  <c r="AN217" i="48" s="1"/>
  <c r="U217" i="48"/>
  <c r="AQ374" i="48"/>
  <c r="AQ375" i="48"/>
  <c r="AQ376" i="48"/>
  <c r="AC102" i="44"/>
  <c r="AC97" i="44"/>
  <c r="AC89" i="44"/>
  <c r="AC87" i="44"/>
  <c r="AC81" i="44"/>
  <c r="AC79" i="44"/>
  <c r="AC76" i="44"/>
  <c r="AC71" i="44"/>
  <c r="AC68" i="44"/>
  <c r="AC65" i="44"/>
  <c r="AC60" i="44"/>
  <c r="AC55" i="44"/>
  <c r="AC49" i="44"/>
  <c r="AC44" i="44"/>
  <c r="AC39" i="44"/>
  <c r="AC34" i="44"/>
  <c r="AC29" i="44"/>
  <c r="AC24" i="44"/>
  <c r="AC16" i="44"/>
  <c r="M102" i="44"/>
  <c r="M97" i="44"/>
  <c r="M89" i="44"/>
  <c r="M87" i="44"/>
  <c r="M81" i="44"/>
  <c r="M79" i="44"/>
  <c r="M76" i="44"/>
  <c r="M71" i="44"/>
  <c r="M68" i="44"/>
  <c r="M65" i="44"/>
  <c r="M60" i="44"/>
  <c r="M55" i="44"/>
  <c r="M49" i="44"/>
  <c r="M44" i="44"/>
  <c r="M39" i="44"/>
  <c r="M34" i="44"/>
  <c r="M29" i="44"/>
  <c r="M24" i="44"/>
  <c r="M16" i="44"/>
  <c r="AC107" i="44"/>
  <c r="AC108" i="44"/>
  <c r="AC109" i="44"/>
  <c r="AC110" i="44"/>
  <c r="AC111" i="44"/>
  <c r="AC112" i="44"/>
  <c r="AC113" i="44"/>
  <c r="AC114" i="44"/>
  <c r="AC115" i="44"/>
  <c r="AC116" i="44"/>
  <c r="AQ111" i="44"/>
  <c r="AQ112" i="44"/>
  <c r="AQ113" i="44"/>
  <c r="AQ13" i="44"/>
  <c r="AQ14" i="44"/>
  <c r="AQ15" i="44"/>
  <c r="AQ17" i="44"/>
  <c r="AQ18" i="44"/>
  <c r="AQ19" i="44"/>
  <c r="AQ20" i="44"/>
  <c r="AQ21" i="44"/>
  <c r="AQ22" i="44"/>
  <c r="AQ23" i="44"/>
  <c r="AQ25" i="44"/>
  <c r="AQ26" i="44"/>
  <c r="AQ27" i="44"/>
  <c r="AQ28" i="44"/>
  <c r="AQ30" i="44"/>
  <c r="AQ31" i="44"/>
  <c r="AQ32" i="44"/>
  <c r="AQ33" i="44"/>
  <c r="AQ35" i="44"/>
  <c r="AQ36" i="44"/>
  <c r="AQ37" i="44"/>
  <c r="AQ38" i="44"/>
  <c r="AQ40" i="44"/>
  <c r="AQ41" i="44"/>
  <c r="AQ42" i="44"/>
  <c r="AQ43" i="44"/>
  <c r="AQ45" i="44"/>
  <c r="AQ46" i="44"/>
  <c r="AQ47" i="44"/>
  <c r="AQ48" i="44"/>
  <c r="AQ50" i="44"/>
  <c r="AQ51" i="44"/>
  <c r="AQ52" i="44"/>
  <c r="AQ53" i="44"/>
  <c r="AQ54" i="44"/>
  <c r="AQ56" i="44"/>
  <c r="AQ57" i="44"/>
  <c r="AQ58" i="44"/>
  <c r="AQ59" i="44"/>
  <c r="AQ61" i="44"/>
  <c r="AQ62" i="44"/>
  <c r="AQ63" i="44"/>
  <c r="AQ64" i="44"/>
  <c r="AQ66" i="44"/>
  <c r="AQ67" i="44"/>
  <c r="AQ69" i="44"/>
  <c r="AQ70" i="44"/>
  <c r="AQ72" i="44"/>
  <c r="AQ73" i="44"/>
  <c r="AQ74" i="44"/>
  <c r="AQ75" i="44"/>
  <c r="AQ77" i="44"/>
  <c r="AQ78" i="44"/>
  <c r="AQ80" i="44"/>
  <c r="AQ81" i="44" s="1"/>
  <c r="AQ82" i="44"/>
  <c r="AQ83" i="44"/>
  <c r="AQ84" i="44"/>
  <c r="AQ85" i="44"/>
  <c r="AQ86" i="44"/>
  <c r="AQ88" i="44"/>
  <c r="AQ89" i="44" s="1"/>
  <c r="AQ90" i="44"/>
  <c r="AQ91" i="44"/>
  <c r="AQ92" i="44"/>
  <c r="AQ93" i="44"/>
  <c r="AQ94" i="44"/>
  <c r="AQ95" i="44"/>
  <c r="AQ96" i="44"/>
  <c r="AQ98" i="44"/>
  <c r="AQ99" i="44"/>
  <c r="AQ100" i="44"/>
  <c r="AQ101" i="44"/>
  <c r="AQ12" i="44"/>
  <c r="M107" i="44"/>
  <c r="M108" i="44"/>
  <c r="M109" i="44"/>
  <c r="M110" i="44"/>
  <c r="M111" i="44"/>
  <c r="M112" i="44"/>
  <c r="M113" i="44"/>
  <c r="M114" i="44"/>
  <c r="M115" i="44"/>
  <c r="M116" i="44"/>
  <c r="I13" i="44"/>
  <c r="I14" i="44"/>
  <c r="I15" i="44"/>
  <c r="I17" i="44"/>
  <c r="I18" i="44"/>
  <c r="I19" i="44"/>
  <c r="I20" i="44"/>
  <c r="I21" i="44"/>
  <c r="I22" i="44"/>
  <c r="I25" i="44"/>
  <c r="I26" i="44"/>
  <c r="I27" i="44"/>
  <c r="I28" i="44"/>
  <c r="I30" i="44"/>
  <c r="I31" i="44"/>
  <c r="I32" i="44"/>
  <c r="I33" i="44"/>
  <c r="I35" i="44"/>
  <c r="I36" i="44"/>
  <c r="I37" i="44"/>
  <c r="I38" i="44"/>
  <c r="I40" i="44"/>
  <c r="I41" i="44"/>
  <c r="I42" i="44"/>
  <c r="I43" i="44"/>
  <c r="I45" i="44"/>
  <c r="I46" i="44"/>
  <c r="I47" i="44"/>
  <c r="I48" i="44"/>
  <c r="I50" i="44"/>
  <c r="I51" i="44"/>
  <c r="I52" i="44"/>
  <c r="I53" i="44"/>
  <c r="I54" i="44"/>
  <c r="I56" i="44"/>
  <c r="I57" i="44"/>
  <c r="I58" i="44"/>
  <c r="I59" i="44"/>
  <c r="I61" i="44"/>
  <c r="I62" i="44"/>
  <c r="I63" i="44"/>
  <c r="I64" i="44"/>
  <c r="I66" i="44"/>
  <c r="I67" i="44"/>
  <c r="I69" i="44"/>
  <c r="I70" i="44"/>
  <c r="I72" i="44"/>
  <c r="I73" i="44"/>
  <c r="I74" i="44"/>
  <c r="I75" i="44"/>
  <c r="I77" i="44"/>
  <c r="I78" i="44"/>
  <c r="I82" i="44"/>
  <c r="I83" i="44"/>
  <c r="I84" i="44"/>
  <c r="I85" i="44"/>
  <c r="I86" i="44"/>
  <c r="I88" i="44"/>
  <c r="I89" i="44" s="1"/>
  <c r="I90" i="44"/>
  <c r="I91" i="44"/>
  <c r="I92" i="44"/>
  <c r="I93" i="44"/>
  <c r="I94" i="44"/>
  <c r="I95" i="44"/>
  <c r="I98" i="44"/>
  <c r="I99" i="44"/>
  <c r="I100" i="44"/>
  <c r="I101" i="44"/>
  <c r="I12" i="44"/>
  <c r="AQ14" i="48"/>
  <c r="AQ15" i="48"/>
  <c r="AQ16" i="48"/>
  <c r="AQ18" i="48"/>
  <c r="AQ19" i="48"/>
  <c r="AQ21" i="48"/>
  <c r="AQ22" i="48"/>
  <c r="AQ23" i="48"/>
  <c r="AQ25" i="48"/>
  <c r="AQ26" i="48"/>
  <c r="AQ28" i="48"/>
  <c r="AQ29" i="48"/>
  <c r="AQ31" i="48"/>
  <c r="AQ32" i="48"/>
  <c r="AQ34" i="48"/>
  <c r="AQ35" i="48"/>
  <c r="AQ37" i="48"/>
  <c r="AQ38" i="48"/>
  <c r="AQ40" i="48"/>
  <c r="AQ41" i="48" s="1"/>
  <c r="AQ42" i="48"/>
  <c r="AQ43" i="48" s="1"/>
  <c r="AQ44" i="48"/>
  <c r="AQ45" i="48" s="1"/>
  <c r="AQ46" i="48"/>
  <c r="AQ47" i="48"/>
  <c r="AQ49" i="48"/>
  <c r="AQ50" i="48"/>
  <c r="AQ52" i="48"/>
  <c r="AQ53" i="48"/>
  <c r="AQ55" i="48"/>
  <c r="AQ56" i="48" s="1"/>
  <c r="AQ57" i="48"/>
  <c r="AQ58" i="48"/>
  <c r="AQ59" i="48"/>
  <c r="AQ61" i="48"/>
  <c r="AQ62" i="48"/>
  <c r="AQ64" i="48"/>
  <c r="AQ65" i="48"/>
  <c r="AQ67" i="48"/>
  <c r="AQ68" i="48"/>
  <c r="AQ70" i="48"/>
  <c r="AQ71" i="48"/>
  <c r="AQ73" i="48"/>
  <c r="AQ74" i="48"/>
  <c r="AQ76" i="48"/>
  <c r="AQ77" i="48"/>
  <c r="AQ79" i="48"/>
  <c r="AQ80" i="48"/>
  <c r="AQ82" i="48"/>
  <c r="AQ83" i="48" s="1"/>
  <c r="AQ84" i="48"/>
  <c r="AQ85" i="48"/>
  <c r="AQ87" i="48"/>
  <c r="AQ88" i="48"/>
  <c r="AQ90" i="48"/>
  <c r="AQ91" i="48" s="1"/>
  <c r="AQ92" i="48"/>
  <c r="AQ93" i="48"/>
  <c r="AQ95" i="48"/>
  <c r="AQ96" i="48"/>
  <c r="AQ97" i="48"/>
  <c r="AQ99" i="48"/>
  <c r="AQ100" i="48"/>
  <c r="AQ101" i="48"/>
  <c r="AQ102" i="48"/>
  <c r="AQ103" i="48"/>
  <c r="AQ105" i="48"/>
  <c r="AQ106" i="48"/>
  <c r="AQ107" i="48"/>
  <c r="AQ108" i="48"/>
  <c r="AQ109" i="48"/>
  <c r="AQ111" i="48"/>
  <c r="AQ112" i="48"/>
  <c r="AQ113" i="48"/>
  <c r="AQ114" i="48"/>
  <c r="AQ116" i="48"/>
  <c r="AQ117" i="48"/>
  <c r="AQ118" i="48"/>
  <c r="AQ119" i="48"/>
  <c r="AQ121" i="48"/>
  <c r="AQ122" i="48"/>
  <c r="AQ123" i="48"/>
  <c r="AQ124" i="48"/>
  <c r="AQ126" i="48"/>
  <c r="AQ127" i="48"/>
  <c r="AQ128" i="48"/>
  <c r="AQ129" i="48"/>
  <c r="AQ131" i="48"/>
  <c r="AQ132" i="48"/>
  <c r="AQ133" i="48"/>
  <c r="AQ134" i="48"/>
  <c r="AQ136" i="48"/>
  <c r="AQ137" i="48"/>
  <c r="AQ138" i="48"/>
  <c r="AQ139" i="48"/>
  <c r="AQ140" i="48"/>
  <c r="AQ142" i="48"/>
  <c r="AQ143" i="48"/>
  <c r="AQ144" i="48"/>
  <c r="AQ145" i="48"/>
  <c r="AQ147" i="48"/>
  <c r="AQ148" i="48"/>
  <c r="AQ149" i="48"/>
  <c r="AQ150" i="48"/>
  <c r="AQ151" i="48"/>
  <c r="AQ153" i="48"/>
  <c r="AQ154" i="48"/>
  <c r="AQ155" i="48"/>
  <c r="AQ156" i="48"/>
  <c r="AQ157" i="48"/>
  <c r="AQ159" i="48"/>
  <c r="AQ160" i="48"/>
  <c r="AQ161" i="48"/>
  <c r="AQ162" i="48"/>
  <c r="AQ164" i="48"/>
  <c r="AQ165" i="48"/>
  <c r="AQ166" i="48"/>
  <c r="AQ168" i="48"/>
  <c r="AQ169" i="48"/>
  <c r="AQ170" i="48"/>
  <c r="AQ171" i="48"/>
  <c r="AQ173" i="48"/>
  <c r="AQ174" i="48"/>
  <c r="AQ175" i="48"/>
  <c r="AQ176" i="48"/>
  <c r="AQ178" i="48"/>
  <c r="AQ179" i="48"/>
  <c r="AQ180" i="48"/>
  <c r="AQ181" i="48"/>
  <c r="AQ183" i="48"/>
  <c r="AQ184" i="48"/>
  <c r="AQ185" i="48"/>
  <c r="AQ186" i="48"/>
  <c r="AQ188" i="48"/>
  <c r="AQ189" i="48"/>
  <c r="AQ190" i="48"/>
  <c r="AQ191" i="48"/>
  <c r="AQ193" i="48"/>
  <c r="AQ194" i="48"/>
  <c r="AQ195" i="48"/>
  <c r="AQ196" i="48"/>
  <c r="AQ198" i="48"/>
  <c r="AQ199" i="48"/>
  <c r="AQ200" i="48"/>
  <c r="AQ201" i="48"/>
  <c r="AQ203" i="48"/>
  <c r="AQ204" i="48"/>
  <c r="AQ205" i="48"/>
  <c r="AQ206" i="48"/>
  <c r="AQ208" i="48"/>
  <c r="AQ209" i="48" s="1"/>
  <c r="AQ210" i="48"/>
  <c r="AQ211" i="48"/>
  <c r="AQ213" i="48"/>
  <c r="AQ214" i="48"/>
  <c r="AQ216" i="48"/>
  <c r="AQ218" i="48"/>
  <c r="AQ219" i="48"/>
  <c r="AQ221" i="48"/>
  <c r="AQ222" i="48"/>
  <c r="AQ224" i="48"/>
  <c r="AQ225" i="48"/>
  <c r="AQ226" i="48"/>
  <c r="AQ227" i="48"/>
  <c r="AQ229" i="48"/>
  <c r="AQ230" i="48"/>
  <c r="AQ231" i="48"/>
  <c r="AQ233" i="48"/>
  <c r="AQ234" i="48"/>
  <c r="AQ235" i="48"/>
  <c r="AQ236" i="48"/>
  <c r="AQ237" i="48"/>
  <c r="AQ238" i="48"/>
  <c r="AQ240" i="48"/>
  <c r="AQ242" i="48"/>
  <c r="AQ243" i="48"/>
  <c r="AQ244" i="48"/>
  <c r="AQ245" i="48"/>
  <c r="AQ247" i="48"/>
  <c r="AQ248" i="48"/>
  <c r="AQ249" i="48"/>
  <c r="AQ250" i="48"/>
  <c r="AQ252" i="48"/>
  <c r="AQ253" i="48"/>
  <c r="AQ255" i="48"/>
  <c r="AQ256" i="48"/>
  <c r="AQ257" i="48"/>
  <c r="AQ259" i="48"/>
  <c r="AQ260" i="48" s="1"/>
  <c r="AQ261" i="48"/>
  <c r="AQ262" i="48"/>
  <c r="AQ264" i="48"/>
  <c r="AQ265" i="48"/>
  <c r="AQ267" i="48"/>
  <c r="AQ268" i="48"/>
  <c r="AQ270" i="48"/>
  <c r="AQ271" i="48"/>
  <c r="AQ272" i="48"/>
  <c r="AQ273" i="48"/>
  <c r="AQ274" i="48"/>
  <c r="AQ275" i="48"/>
  <c r="AQ277" i="48"/>
  <c r="AQ278" i="48"/>
  <c r="AQ279" i="48"/>
  <c r="AQ281" i="48"/>
  <c r="AQ282" i="48"/>
  <c r="AQ283" i="48"/>
  <c r="AQ284" i="48"/>
  <c r="AQ285" i="48"/>
  <c r="AQ287" i="48"/>
  <c r="AQ288" i="48"/>
  <c r="AQ289" i="48"/>
  <c r="AQ290" i="48"/>
  <c r="AQ292" i="48"/>
  <c r="AQ293" i="48"/>
  <c r="AQ294" i="48"/>
  <c r="AQ295" i="48"/>
  <c r="AQ297" i="48"/>
  <c r="AQ298" i="48"/>
  <c r="AQ300" i="48"/>
  <c r="AQ301" i="48"/>
  <c r="AQ302" i="48"/>
  <c r="AQ303" i="48"/>
  <c r="AQ305" i="48"/>
  <c r="AQ306" i="48"/>
  <c r="AQ307" i="48"/>
  <c r="AQ308" i="48"/>
  <c r="AQ310" i="48"/>
  <c r="AQ311" i="48"/>
  <c r="AQ313" i="48"/>
  <c r="AQ314" i="48"/>
  <c r="AQ315" i="48"/>
  <c r="AQ316" i="48"/>
  <c r="AQ317" i="48"/>
  <c r="AQ319" i="48"/>
  <c r="AQ320" i="48"/>
  <c r="AQ321" i="48"/>
  <c r="AQ322" i="48"/>
  <c r="AQ324" i="48"/>
  <c r="AQ325" i="48"/>
  <c r="AQ326" i="48"/>
  <c r="AQ327" i="48"/>
  <c r="AQ329" i="48"/>
  <c r="AQ330" i="48"/>
  <c r="AQ331" i="48"/>
  <c r="AQ332" i="48"/>
  <c r="AQ333" i="48"/>
  <c r="AQ335" i="48"/>
  <c r="AQ336" i="48"/>
  <c r="AQ337" i="48"/>
  <c r="AQ338" i="48"/>
  <c r="AQ340" i="48"/>
  <c r="AQ341" i="48"/>
  <c r="AQ342" i="48"/>
  <c r="AQ343" i="48"/>
  <c r="AQ345" i="48"/>
  <c r="AQ346" i="48"/>
  <c r="AQ347" i="48"/>
  <c r="AQ348" i="48"/>
  <c r="AQ350" i="48"/>
  <c r="AQ351" i="48"/>
  <c r="AQ352" i="48"/>
  <c r="AQ353" i="48"/>
  <c r="AQ354" i="48"/>
  <c r="AQ356" i="48"/>
  <c r="AQ357" i="48"/>
  <c r="AQ358" i="48"/>
  <c r="AQ359" i="48"/>
  <c r="AQ361" i="48"/>
  <c r="AQ362" i="48" s="1"/>
  <c r="AQ363" i="48"/>
  <c r="AQ364" i="48"/>
  <c r="AQ12" i="48"/>
  <c r="AC379" i="48"/>
  <c r="AC378" i="48"/>
  <c r="AC377" i="48"/>
  <c r="AC376" i="48"/>
  <c r="V33" i="47" s="1"/>
  <c r="AC375" i="48"/>
  <c r="V32" i="47" s="1"/>
  <c r="AC374" i="48"/>
  <c r="AC373" i="48"/>
  <c r="AC372" i="48"/>
  <c r="AC371" i="48"/>
  <c r="AC370" i="48"/>
  <c r="M370" i="48"/>
  <c r="F27" i="47" s="1"/>
  <c r="M371" i="48"/>
  <c r="F28" i="47" s="1"/>
  <c r="M372" i="48"/>
  <c r="F29" i="47" s="1"/>
  <c r="M373" i="48"/>
  <c r="M374" i="48"/>
  <c r="M375" i="48"/>
  <c r="M376" i="48"/>
  <c r="F33" i="47" s="1"/>
  <c r="M377" i="48"/>
  <c r="F34" i="47" s="1"/>
  <c r="M378" i="48"/>
  <c r="F35" i="47" s="1"/>
  <c r="M379" i="48"/>
  <c r="F36" i="47" s="1"/>
  <c r="AK235" i="48"/>
  <c r="AR235" i="48" s="1"/>
  <c r="Y235" i="48"/>
  <c r="AN235" i="48" s="1"/>
  <c r="U235" i="48"/>
  <c r="AK149" i="48"/>
  <c r="AR149" i="48" s="1"/>
  <c r="Y149" i="48"/>
  <c r="AN149" i="48" s="1"/>
  <c r="U149" i="48"/>
  <c r="L102" i="44"/>
  <c r="K102" i="44"/>
  <c r="L89" i="44"/>
  <c r="K89" i="44"/>
  <c r="L87" i="44"/>
  <c r="K87" i="44"/>
  <c r="L79" i="44"/>
  <c r="K79" i="44"/>
  <c r="L76" i="44"/>
  <c r="K76" i="44"/>
  <c r="L71" i="44"/>
  <c r="K71" i="44"/>
  <c r="L68" i="44"/>
  <c r="K68" i="44"/>
  <c r="L65" i="44"/>
  <c r="K65" i="44"/>
  <c r="L60" i="44"/>
  <c r="K60" i="44"/>
  <c r="L55" i="44"/>
  <c r="K55" i="44"/>
  <c r="L49" i="44"/>
  <c r="K49" i="44"/>
  <c r="L44" i="44"/>
  <c r="K44" i="44"/>
  <c r="L39" i="44"/>
  <c r="K39" i="44"/>
  <c r="L34" i="44"/>
  <c r="K34" i="44"/>
  <c r="L29" i="44"/>
  <c r="K29" i="44"/>
  <c r="L16" i="44"/>
  <c r="K16" i="44"/>
  <c r="AK160" i="48"/>
  <c r="AR160" i="48" s="1"/>
  <c r="Y160" i="48"/>
  <c r="AN160" i="48" s="1"/>
  <c r="U160" i="48"/>
  <c r="AF349" i="48"/>
  <c r="AF328" i="48"/>
  <c r="AF309" i="48"/>
  <c r="AF296" i="48"/>
  <c r="AF239" i="48"/>
  <c r="AF212" i="48"/>
  <c r="AF197" i="48"/>
  <c r="AF192" i="48"/>
  <c r="AF163" i="48"/>
  <c r="AF158" i="48"/>
  <c r="AF120" i="48"/>
  <c r="AF104" i="48"/>
  <c r="AF365" i="48"/>
  <c r="AF362" i="48"/>
  <c r="AF360" i="48"/>
  <c r="AF355" i="48"/>
  <c r="AF344" i="48"/>
  <c r="AF339" i="48"/>
  <c r="AF334" i="48"/>
  <c r="AF323" i="48"/>
  <c r="AF318" i="48"/>
  <c r="AF312" i="48"/>
  <c r="AF304" i="48"/>
  <c r="AF299" i="48"/>
  <c r="AF291" i="48"/>
  <c r="AF286" i="48"/>
  <c r="AF280" i="48"/>
  <c r="AF276" i="48"/>
  <c r="AF269" i="48"/>
  <c r="AF266" i="48"/>
  <c r="AF263" i="48"/>
  <c r="AF260" i="48"/>
  <c r="AF258" i="48"/>
  <c r="AF254" i="48"/>
  <c r="AF251" i="48"/>
  <c r="AF246" i="48"/>
  <c r="AF241" i="48"/>
  <c r="AF232" i="48"/>
  <c r="AF228" i="48"/>
  <c r="AF223" i="48"/>
  <c r="AF220" i="48"/>
  <c r="AF215" i="48"/>
  <c r="AF209" i="48"/>
  <c r="AF207" i="48"/>
  <c r="AF202" i="48"/>
  <c r="AF187" i="48"/>
  <c r="AF182" i="48"/>
  <c r="AF177" i="48"/>
  <c r="AF172" i="48"/>
  <c r="AF167" i="48"/>
  <c r="AF146" i="48"/>
  <c r="AF141" i="48"/>
  <c r="AF135" i="48"/>
  <c r="AF130" i="48"/>
  <c r="AF125" i="48"/>
  <c r="AF115" i="48"/>
  <c r="AF110" i="48"/>
  <c r="AF98" i="48"/>
  <c r="AF94" i="48"/>
  <c r="AF91" i="48"/>
  <c r="AF89" i="48"/>
  <c r="AF86" i="48"/>
  <c r="AF83" i="48"/>
  <c r="AF81" i="48"/>
  <c r="AF78" i="48"/>
  <c r="AF75" i="48"/>
  <c r="AF72" i="48"/>
  <c r="AF69" i="48"/>
  <c r="AF66" i="48"/>
  <c r="AF63" i="48"/>
  <c r="AF60" i="48"/>
  <c r="AF56" i="48"/>
  <c r="AF54" i="48"/>
  <c r="AF51" i="48"/>
  <c r="AF48" i="48"/>
  <c r="AF45" i="48"/>
  <c r="AF43" i="48"/>
  <c r="AF41" i="48"/>
  <c r="AF39" i="48"/>
  <c r="AF36" i="48"/>
  <c r="AF33" i="48"/>
  <c r="AF30" i="48"/>
  <c r="AF27" i="48"/>
  <c r="AF24" i="48"/>
  <c r="AF20" i="48"/>
  <c r="AF17" i="48"/>
  <c r="AF13" i="48"/>
  <c r="AK154" i="48"/>
  <c r="AR154" i="48" s="1"/>
  <c r="AK174" i="48"/>
  <c r="AR174" i="48" s="1"/>
  <c r="AK179" i="48"/>
  <c r="AR179" i="48" s="1"/>
  <c r="AK184" i="48"/>
  <c r="AR184" i="48" s="1"/>
  <c r="AK189" i="48"/>
  <c r="AR189" i="48" s="1"/>
  <c r="AK194" i="48"/>
  <c r="AR194" i="48" s="1"/>
  <c r="AK306" i="48"/>
  <c r="AR306" i="48" s="1"/>
  <c r="Y306" i="48"/>
  <c r="AN306" i="48" s="1"/>
  <c r="AK352" i="48"/>
  <c r="AR352" i="48" s="1"/>
  <c r="Y352" i="48"/>
  <c r="AN352" i="48" s="1"/>
  <c r="AK331" i="48"/>
  <c r="AR331" i="48" s="1"/>
  <c r="Y331" i="48"/>
  <c r="AN331" i="48" s="1"/>
  <c r="U331" i="48"/>
  <c r="AK314" i="48"/>
  <c r="AR314" i="48" s="1"/>
  <c r="Y314" i="48"/>
  <c r="AN314" i="48" s="1"/>
  <c r="AK288" i="48"/>
  <c r="AR288" i="48" s="1"/>
  <c r="Y288" i="48"/>
  <c r="AN288" i="48" s="1"/>
  <c r="AK282" i="48"/>
  <c r="AR282" i="48" s="1"/>
  <c r="Y282" i="48"/>
  <c r="AN282" i="48" s="1"/>
  <c r="AK199" i="48"/>
  <c r="AR199" i="48" s="1"/>
  <c r="Y199" i="48"/>
  <c r="AN199" i="48" s="1"/>
  <c r="Y194" i="48"/>
  <c r="AN194" i="48" s="1"/>
  <c r="Y189" i="48"/>
  <c r="AN189" i="48" s="1"/>
  <c r="Y184" i="48"/>
  <c r="AN184" i="48" s="1"/>
  <c r="Y179" i="48"/>
  <c r="AN179" i="48" s="1"/>
  <c r="Y174" i="48"/>
  <c r="AN174" i="48" s="1"/>
  <c r="Y154" i="48"/>
  <c r="AN154" i="48" s="1"/>
  <c r="AK143" i="48"/>
  <c r="AR143" i="48" s="1"/>
  <c r="Y143" i="48"/>
  <c r="AN143" i="48" s="1"/>
  <c r="AK137" i="48"/>
  <c r="AR137" i="48" s="1"/>
  <c r="Y137" i="48"/>
  <c r="AN137" i="48" s="1"/>
  <c r="AK132" i="48"/>
  <c r="AR132" i="48" s="1"/>
  <c r="Y132" i="48"/>
  <c r="AN132" i="48" s="1"/>
  <c r="AK127" i="48"/>
  <c r="AR127" i="48" s="1"/>
  <c r="Y127" i="48"/>
  <c r="AN127" i="48" s="1"/>
  <c r="AK122" i="48"/>
  <c r="AR122" i="48" s="1"/>
  <c r="Y122" i="48"/>
  <c r="AN122" i="48" s="1"/>
  <c r="AK117" i="48"/>
  <c r="AR117" i="48" s="1"/>
  <c r="Y117" i="48"/>
  <c r="AN117" i="48" s="1"/>
  <c r="AK112" i="48"/>
  <c r="AR112" i="48" s="1"/>
  <c r="Y112" i="48"/>
  <c r="AN112" i="48" s="1"/>
  <c r="AK106" i="48"/>
  <c r="AR106" i="48" s="1"/>
  <c r="Y106" i="48"/>
  <c r="AN106" i="48" s="1"/>
  <c r="AK101" i="48"/>
  <c r="AR101" i="48" s="1"/>
  <c r="Y101" i="48"/>
  <c r="AN101" i="48" s="1"/>
  <c r="AK93" i="44"/>
  <c r="AR93" i="44" s="1"/>
  <c r="Y93" i="44"/>
  <c r="AN93" i="44" s="1"/>
  <c r="O93" i="44"/>
  <c r="AK84" i="44"/>
  <c r="AR84" i="44" s="1"/>
  <c r="Y84" i="44"/>
  <c r="AN84" i="44" s="1"/>
  <c r="O84" i="44"/>
  <c r="AK52" i="44"/>
  <c r="AR52" i="44" s="1"/>
  <c r="Y52" i="44"/>
  <c r="AN52" i="44" s="1"/>
  <c r="O52" i="44"/>
  <c r="AK19" i="44"/>
  <c r="AR19" i="44" s="1"/>
  <c r="Y19" i="44"/>
  <c r="AN19" i="44" s="1"/>
  <c r="O19" i="44"/>
  <c r="Z111" i="44"/>
  <c r="Z112" i="44"/>
  <c r="Z113" i="44"/>
  <c r="I80" i="44" l="1"/>
  <c r="I81" i="44" s="1"/>
  <c r="V31" i="47"/>
  <c r="V30" i="47"/>
  <c r="F30" i="47"/>
  <c r="AJ33" i="47"/>
  <c r="V27" i="47"/>
  <c r="V35" i="47"/>
  <c r="L81" i="44"/>
  <c r="V34" i="47"/>
  <c r="AJ32" i="47"/>
  <c r="V28" i="47"/>
  <c r="V36" i="47"/>
  <c r="F32" i="47"/>
  <c r="V29" i="47"/>
  <c r="F31" i="47"/>
  <c r="I23" i="44"/>
  <c r="I24" i="44" s="1"/>
  <c r="AJ31" i="47"/>
  <c r="I140" i="48"/>
  <c r="I141" i="48" s="1"/>
  <c r="K141" i="48"/>
  <c r="I12" i="48"/>
  <c r="I13" i="48" s="1"/>
  <c r="K13" i="48"/>
  <c r="I259" i="48"/>
  <c r="I260" i="48" s="1"/>
  <c r="I238" i="48"/>
  <c r="I239" i="48" s="1"/>
  <c r="I171" i="48"/>
  <c r="I172" i="48" s="1"/>
  <c r="I157" i="48"/>
  <c r="I158" i="48" s="1"/>
  <c r="K24" i="44"/>
  <c r="I96" i="44"/>
  <c r="I97" i="44" s="1"/>
  <c r="L97" i="44"/>
  <c r="AQ81" i="48"/>
  <c r="AQ72" i="48"/>
  <c r="AQ63" i="48"/>
  <c r="AQ266" i="48"/>
  <c r="AQ86" i="48"/>
  <c r="AQ39" i="48"/>
  <c r="AQ30" i="48"/>
  <c r="AQ68" i="44"/>
  <c r="AQ60" i="44"/>
  <c r="M103" i="44"/>
  <c r="F14" i="47" s="1"/>
  <c r="I16" i="44"/>
  <c r="I76" i="44"/>
  <c r="I60" i="44"/>
  <c r="AQ79" i="44"/>
  <c r="AQ71" i="44"/>
  <c r="AQ65" i="44"/>
  <c r="AQ24" i="44"/>
  <c r="AC103" i="44"/>
  <c r="V14" i="47" s="1"/>
  <c r="I44" i="44"/>
  <c r="I29" i="44"/>
  <c r="I79" i="44"/>
  <c r="I71" i="44"/>
  <c r="I65" i="44"/>
  <c r="AQ49" i="44"/>
  <c r="AQ34" i="44"/>
  <c r="I49" i="44"/>
  <c r="I34" i="44"/>
  <c r="AQ102" i="44"/>
  <c r="I102" i="44"/>
  <c r="I68" i="44"/>
  <c r="AQ97" i="44"/>
  <c r="AQ87" i="44"/>
  <c r="AQ55" i="44"/>
  <c r="AQ39" i="44"/>
  <c r="I87" i="44"/>
  <c r="I55" i="44"/>
  <c r="I39" i="44"/>
  <c r="AQ76" i="44"/>
  <c r="AQ44" i="44"/>
  <c r="AQ29" i="44"/>
  <c r="AQ263" i="48"/>
  <c r="AQ254" i="48"/>
  <c r="AQ54" i="48"/>
  <c r="AQ258" i="48"/>
  <c r="AQ251" i="48"/>
  <c r="AQ75" i="48"/>
  <c r="AQ48" i="48"/>
  <c r="AQ20" i="48"/>
  <c r="AQ36" i="48"/>
  <c r="AQ27" i="48"/>
  <c r="AQ33" i="48"/>
  <c r="AQ17" i="48"/>
  <c r="AQ98" i="48"/>
  <c r="AQ51" i="48"/>
  <c r="AQ24" i="48"/>
  <c r="AQ110" i="48"/>
  <c r="AQ60" i="48"/>
  <c r="AQ69" i="48"/>
  <c r="AQ78" i="48"/>
  <c r="AQ89" i="48"/>
  <c r="AQ94" i="48"/>
  <c r="AQ66" i="48"/>
  <c r="AQ104" i="48"/>
  <c r="AQ370" i="48"/>
  <c r="AQ269" i="48"/>
  <c r="AQ299" i="48"/>
  <c r="AQ304" i="48"/>
  <c r="AQ309" i="48"/>
  <c r="AQ312" i="48"/>
  <c r="AQ318" i="48"/>
  <c r="AQ323" i="48"/>
  <c r="AQ328" i="48"/>
  <c r="AQ334" i="48"/>
  <c r="AQ339" i="48"/>
  <c r="AQ344" i="48"/>
  <c r="AQ349" i="48"/>
  <c r="AQ355" i="48"/>
  <c r="AQ360" i="48"/>
  <c r="AQ365" i="48"/>
  <c r="AC369" i="48"/>
  <c r="AQ371" i="48"/>
  <c r="AQ372" i="48"/>
  <c r="AQ373" i="48"/>
  <c r="AQ377" i="48"/>
  <c r="AQ241" i="48"/>
  <c r="AQ378" i="48"/>
  <c r="AQ379" i="48"/>
  <c r="AQ13" i="48"/>
  <c r="Z217" i="48"/>
  <c r="AA217" i="48"/>
  <c r="AO217" i="48" s="1"/>
  <c r="AM217" i="48"/>
  <c r="AB217" i="48"/>
  <c r="AP217" i="48" s="1"/>
  <c r="AQ115" i="48"/>
  <c r="AQ120" i="48"/>
  <c r="AQ125" i="48"/>
  <c r="AQ130" i="48"/>
  <c r="AQ135" i="48"/>
  <c r="AQ141" i="48"/>
  <c r="AQ146" i="48"/>
  <c r="AQ152" i="48"/>
  <c r="AQ158" i="48"/>
  <c r="AQ163" i="48"/>
  <c r="AQ167" i="48"/>
  <c r="AQ172" i="48"/>
  <c r="AQ177" i="48"/>
  <c r="AQ182" i="48"/>
  <c r="AQ187" i="48"/>
  <c r="AQ192" i="48"/>
  <c r="AQ197" i="48"/>
  <c r="AQ202" i="48"/>
  <c r="AQ207" i="48"/>
  <c r="AQ212" i="48"/>
  <c r="AQ215" i="48"/>
  <c r="AQ220" i="48"/>
  <c r="AQ223" i="48"/>
  <c r="AQ228" i="48"/>
  <c r="AQ232" i="48"/>
  <c r="AQ239" i="48"/>
  <c r="AQ246" i="48"/>
  <c r="AQ276" i="48"/>
  <c r="AQ280" i="48"/>
  <c r="AQ286" i="48"/>
  <c r="AQ291" i="48"/>
  <c r="AQ296" i="48"/>
  <c r="M369" i="48"/>
  <c r="AC366" i="48"/>
  <c r="V13" i="47" s="1"/>
  <c r="M366" i="48"/>
  <c r="AQ108" i="44"/>
  <c r="AQ107" i="44"/>
  <c r="AQ110" i="44"/>
  <c r="AQ114" i="44"/>
  <c r="AQ116" i="44"/>
  <c r="AQ115" i="44"/>
  <c r="AQ109" i="44"/>
  <c r="AQ16" i="44"/>
  <c r="AC106" i="44"/>
  <c r="M106" i="44"/>
  <c r="Z235" i="48"/>
  <c r="AA235" i="48"/>
  <c r="AO235" i="48" s="1"/>
  <c r="AB235" i="48"/>
  <c r="AP235" i="48" s="1"/>
  <c r="AM235" i="48"/>
  <c r="AF152" i="48"/>
  <c r="Z149" i="48"/>
  <c r="AA149" i="48"/>
  <c r="AO149" i="48" s="1"/>
  <c r="AB149" i="48"/>
  <c r="AP149" i="48" s="1"/>
  <c r="AM149" i="48"/>
  <c r="AM160" i="48"/>
  <c r="AB160" i="48"/>
  <c r="AP160" i="48" s="1"/>
  <c r="AA160" i="48"/>
  <c r="AO160" i="48" s="1"/>
  <c r="Z160" i="48"/>
  <c r="U306" i="48"/>
  <c r="U352" i="48"/>
  <c r="U314" i="48"/>
  <c r="U288" i="48"/>
  <c r="U282" i="48"/>
  <c r="AM282" i="48" s="1"/>
  <c r="U199" i="48"/>
  <c r="U194" i="48"/>
  <c r="U189" i="48"/>
  <c r="U184" i="48"/>
  <c r="AA184" i="48" s="1"/>
  <c r="AO184" i="48" s="1"/>
  <c r="U179" i="48"/>
  <c r="U174" i="48"/>
  <c r="U154" i="48"/>
  <c r="U143" i="48"/>
  <c r="U137" i="48"/>
  <c r="U132" i="48"/>
  <c r="U127" i="48"/>
  <c r="U122" i="48"/>
  <c r="U117" i="48"/>
  <c r="U112" i="48"/>
  <c r="U106" i="48"/>
  <c r="U101" i="48"/>
  <c r="U93" i="44"/>
  <c r="U84" i="44"/>
  <c r="U52" i="44"/>
  <c r="U19" i="44"/>
  <c r="AM331" i="48"/>
  <c r="AB331" i="48"/>
  <c r="AP331" i="48" s="1"/>
  <c r="AA331" i="48"/>
  <c r="AO331" i="48" s="1"/>
  <c r="Z331" i="48"/>
  <c r="AJ35" i="47" l="1"/>
  <c r="AJ28" i="47"/>
  <c r="AJ29" i="47"/>
  <c r="AJ27" i="47"/>
  <c r="AJ36" i="47"/>
  <c r="AJ30" i="47"/>
  <c r="AJ34" i="47"/>
  <c r="AD160" i="48"/>
  <c r="AD235" i="48"/>
  <c r="AD331" i="48"/>
  <c r="AL331" i="48" s="1"/>
  <c r="AD149" i="48"/>
  <c r="AD217" i="48"/>
  <c r="F13" i="47"/>
  <c r="AQ367" i="48"/>
  <c r="AQ106" i="44"/>
  <c r="AQ103" i="44"/>
  <c r="AJ14" i="47" s="1"/>
  <c r="AQ369" i="48"/>
  <c r="AQ366" i="48"/>
  <c r="AJ13" i="47" s="1"/>
  <c r="AB306" i="48"/>
  <c r="AP306" i="48" s="1"/>
  <c r="Z306" i="48"/>
  <c r="AA282" i="48"/>
  <c r="AO282" i="48" s="1"/>
  <c r="AB282" i="48"/>
  <c r="Z282" i="48"/>
  <c r="AB352" i="48"/>
  <c r="AP352" i="48" s="1"/>
  <c r="AM352" i="48"/>
  <c r="AA306" i="48"/>
  <c r="AM306" i="48"/>
  <c r="AB288" i="48"/>
  <c r="AP288" i="48" s="1"/>
  <c r="AM288" i="48"/>
  <c r="Z352" i="48"/>
  <c r="AA352" i="48"/>
  <c r="AO352" i="48" s="1"/>
  <c r="Z288" i="48"/>
  <c r="AA288" i="48"/>
  <c r="AB314" i="48"/>
  <c r="AP314" i="48" s="1"/>
  <c r="AM314" i="48"/>
  <c r="Z314" i="48"/>
  <c r="AA314" i="48"/>
  <c r="AA199" i="48"/>
  <c r="AO199" i="48" s="1"/>
  <c r="AM199" i="48"/>
  <c r="AB179" i="48"/>
  <c r="AP179" i="48" s="1"/>
  <c r="AA179" i="48"/>
  <c r="AO179" i="48" s="1"/>
  <c r="Z84" i="44"/>
  <c r="AA84" i="44"/>
  <c r="AB84" i="44"/>
  <c r="AP84" i="44" s="1"/>
  <c r="AM84" i="44"/>
  <c r="Z52" i="44"/>
  <c r="AA52" i="44"/>
  <c r="AO52" i="44" s="1"/>
  <c r="AB52" i="44"/>
  <c r="AP52" i="44" s="1"/>
  <c r="AM52" i="44"/>
  <c r="Z19" i="44"/>
  <c r="AA19" i="44"/>
  <c r="AO19" i="44" s="1"/>
  <c r="AB19" i="44"/>
  <c r="AP19" i="44" s="1"/>
  <c r="AM19" i="44"/>
  <c r="AA93" i="44"/>
  <c r="AO93" i="44" s="1"/>
  <c r="AM93" i="44"/>
  <c r="AB93" i="44"/>
  <c r="AP93" i="44" s="1"/>
  <c r="Z93" i="44"/>
  <c r="AM179" i="48"/>
  <c r="Z179" i="48"/>
  <c r="Z184" i="48"/>
  <c r="AB184" i="48"/>
  <c r="AP184" i="48" s="1"/>
  <c r="AM184" i="48"/>
  <c r="Z174" i="48"/>
  <c r="AA174" i="48"/>
  <c r="AO174" i="48" s="1"/>
  <c r="AB174" i="48"/>
  <c r="AP174" i="48" s="1"/>
  <c r="AM174" i="48"/>
  <c r="Z154" i="48"/>
  <c r="AA154" i="48"/>
  <c r="AO154" i="48" s="1"/>
  <c r="AB154" i="48"/>
  <c r="AP154" i="48" s="1"/>
  <c r="AM154" i="48"/>
  <c r="Z143" i="48"/>
  <c r="AA143" i="48"/>
  <c r="AO143" i="48" s="1"/>
  <c r="Z199" i="48"/>
  <c r="AB199" i="48"/>
  <c r="AP199" i="48" s="1"/>
  <c r="AM194" i="48"/>
  <c r="Z194" i="48"/>
  <c r="AA194" i="48"/>
  <c r="AO194" i="48" s="1"/>
  <c r="AB194" i="48"/>
  <c r="AP194" i="48" s="1"/>
  <c r="AA189" i="48"/>
  <c r="AO189" i="48" s="1"/>
  <c r="AM189" i="48"/>
  <c r="Z189" i="48"/>
  <c r="AB189" i="48"/>
  <c r="AP189" i="48" s="1"/>
  <c r="AB143" i="48"/>
  <c r="AM143" i="48"/>
  <c r="Z137" i="48"/>
  <c r="AA137" i="48"/>
  <c r="AO137" i="48" s="1"/>
  <c r="AB137" i="48"/>
  <c r="AP137" i="48" s="1"/>
  <c r="AM137" i="48"/>
  <c r="Z132" i="48"/>
  <c r="AA132" i="48"/>
  <c r="AO132" i="48" s="1"/>
  <c r="AB132" i="48"/>
  <c r="AP132" i="48" s="1"/>
  <c r="AM132" i="48"/>
  <c r="Z127" i="48"/>
  <c r="AA127" i="48"/>
  <c r="AO127" i="48" s="1"/>
  <c r="AB127" i="48"/>
  <c r="AP127" i="48" s="1"/>
  <c r="AM127" i="48"/>
  <c r="Z122" i="48"/>
  <c r="AM122" i="48"/>
  <c r="AA122" i="48"/>
  <c r="AO122" i="48" s="1"/>
  <c r="AB122" i="48"/>
  <c r="AP122" i="48" s="1"/>
  <c r="Z117" i="48"/>
  <c r="AA117" i="48"/>
  <c r="AO117" i="48" s="1"/>
  <c r="AB117" i="48"/>
  <c r="AP117" i="48" s="1"/>
  <c r="AM117" i="48"/>
  <c r="AA112" i="48"/>
  <c r="AO112" i="48" s="1"/>
  <c r="AB112" i="48"/>
  <c r="AP112" i="48" s="1"/>
  <c r="AM112" i="48"/>
  <c r="Z112" i="48"/>
  <c r="AM106" i="48"/>
  <c r="AA106" i="48"/>
  <c r="AO106" i="48" s="1"/>
  <c r="Z106" i="48"/>
  <c r="AB106" i="48"/>
  <c r="AP106" i="48" s="1"/>
  <c r="Z101" i="48"/>
  <c r="AA101" i="48"/>
  <c r="AO101" i="48" s="1"/>
  <c r="AB101" i="48"/>
  <c r="AP101" i="48" s="1"/>
  <c r="AM101" i="48"/>
  <c r="AL235" i="48" l="1"/>
  <c r="AL217" i="48"/>
  <c r="AL160" i="48"/>
  <c r="AL149" i="48"/>
  <c r="AD122" i="48"/>
  <c r="AL122" i="48" s="1"/>
  <c r="AD112" i="48"/>
  <c r="AD179" i="48"/>
  <c r="AL179" i="48" s="1"/>
  <c r="AD282" i="48"/>
  <c r="AD288" i="48"/>
  <c r="AD306" i="48"/>
  <c r="AD199" i="48"/>
  <c r="AD184" i="48"/>
  <c r="AD352" i="48"/>
  <c r="AD117" i="48"/>
  <c r="AD132" i="48"/>
  <c r="AD143" i="48"/>
  <c r="AD194" i="48"/>
  <c r="AD137" i="48"/>
  <c r="AD154" i="48"/>
  <c r="AL154" i="48" s="1"/>
  <c r="AD314" i="48"/>
  <c r="AD101" i="48"/>
  <c r="AD106" i="48"/>
  <c r="AD127" i="48"/>
  <c r="AD189" i="48"/>
  <c r="AD174" i="48"/>
  <c r="AD52" i="44"/>
  <c r="AL52" i="44" s="1"/>
  <c r="AD84" i="44"/>
  <c r="AL84" i="44" s="1"/>
  <c r="AD19" i="44"/>
  <c r="AL19" i="44" s="1"/>
  <c r="AD93" i="44"/>
  <c r="AL93" i="44" s="1"/>
  <c r="AP282" i="48"/>
  <c r="AO306" i="48"/>
  <c r="AO288" i="48"/>
  <c r="AO314" i="48"/>
  <c r="AO84" i="44"/>
  <c r="AP143" i="48"/>
  <c r="AF102" i="44"/>
  <c r="AF97" i="44"/>
  <c r="AF89" i="44"/>
  <c r="AF87" i="44"/>
  <c r="AF81" i="44"/>
  <c r="AF79" i="44"/>
  <c r="AF76" i="44"/>
  <c r="AF71" i="44"/>
  <c r="AF68" i="44"/>
  <c r="AF65" i="44"/>
  <c r="AF60" i="44"/>
  <c r="AF55" i="44"/>
  <c r="AF49" i="44"/>
  <c r="AF44" i="44"/>
  <c r="AF39" i="44"/>
  <c r="AF34" i="44"/>
  <c r="AF29" i="44"/>
  <c r="AF24" i="44"/>
  <c r="AF16" i="44"/>
  <c r="P102" i="44"/>
  <c r="P97" i="44"/>
  <c r="P89" i="44"/>
  <c r="P87" i="44"/>
  <c r="P81" i="44"/>
  <c r="P79" i="44"/>
  <c r="P76" i="44"/>
  <c r="P71" i="44"/>
  <c r="P68" i="44"/>
  <c r="P65" i="44"/>
  <c r="P60" i="44"/>
  <c r="P55" i="44"/>
  <c r="P49" i="44"/>
  <c r="P44" i="44"/>
  <c r="P39" i="44"/>
  <c r="P34" i="44"/>
  <c r="P29" i="44"/>
  <c r="P24" i="44"/>
  <c r="P16" i="44"/>
  <c r="P107" i="44"/>
  <c r="P108" i="44"/>
  <c r="P109" i="44"/>
  <c r="P110" i="44"/>
  <c r="P111" i="44"/>
  <c r="P112" i="44"/>
  <c r="P113" i="44"/>
  <c r="P114" i="44"/>
  <c r="P115" i="44"/>
  <c r="P116" i="44"/>
  <c r="AL143" i="48" l="1"/>
  <c r="AL306" i="48"/>
  <c r="AL117" i="48"/>
  <c r="AL282" i="48"/>
  <c r="AL174" i="48"/>
  <c r="AL352" i="48"/>
  <c r="AL112" i="48"/>
  <c r="AL314" i="48"/>
  <c r="AL189" i="48"/>
  <c r="AL137" i="48"/>
  <c r="AL184" i="48"/>
  <c r="AL288" i="48"/>
  <c r="AL127" i="48"/>
  <c r="AL194" i="48"/>
  <c r="AL199" i="48"/>
  <c r="AL106" i="48"/>
  <c r="AL101" i="48"/>
  <c r="AL132" i="48"/>
  <c r="P103" i="44"/>
  <c r="I14" i="47" s="1"/>
  <c r="P106" i="44"/>
  <c r="AK101" i="44" l="1"/>
  <c r="AR101" i="44" s="1"/>
  <c r="AK100" i="44"/>
  <c r="AR100" i="44" s="1"/>
  <c r="AK99" i="44"/>
  <c r="AR99" i="44" s="1"/>
  <c r="AK98" i="44"/>
  <c r="AR98" i="44" s="1"/>
  <c r="AK96" i="44"/>
  <c r="AR96" i="44" s="1"/>
  <c r="AK95" i="44"/>
  <c r="AR95" i="44" s="1"/>
  <c r="AK94" i="44"/>
  <c r="AR94" i="44" s="1"/>
  <c r="AK92" i="44"/>
  <c r="AR92" i="44" s="1"/>
  <c r="AK91" i="44"/>
  <c r="AR91" i="44" s="1"/>
  <c r="AK90" i="44"/>
  <c r="AR90" i="44" s="1"/>
  <c r="AK88" i="44"/>
  <c r="AR88" i="44" s="1"/>
  <c r="AK86" i="44"/>
  <c r="AR86" i="44" s="1"/>
  <c r="AK85" i="44"/>
  <c r="AR85" i="44" s="1"/>
  <c r="AK83" i="44"/>
  <c r="AR83" i="44" s="1"/>
  <c r="AK82" i="44"/>
  <c r="AR82" i="44" s="1"/>
  <c r="AK80" i="44"/>
  <c r="AR80" i="44" s="1"/>
  <c r="AK78" i="44"/>
  <c r="AR78" i="44" s="1"/>
  <c r="AK77" i="44"/>
  <c r="AR77" i="44" s="1"/>
  <c r="AK75" i="44"/>
  <c r="AR75" i="44" s="1"/>
  <c r="AK74" i="44"/>
  <c r="AR74" i="44" s="1"/>
  <c r="AK73" i="44"/>
  <c r="AR73" i="44" s="1"/>
  <c r="AK72" i="44"/>
  <c r="AR72" i="44" s="1"/>
  <c r="AK70" i="44"/>
  <c r="AR70" i="44" s="1"/>
  <c r="AK69" i="44"/>
  <c r="AR69" i="44" s="1"/>
  <c r="AK67" i="44"/>
  <c r="AR67" i="44" s="1"/>
  <c r="AK66" i="44"/>
  <c r="AR66" i="44" s="1"/>
  <c r="AK64" i="44"/>
  <c r="AR64" i="44" s="1"/>
  <c r="AK63" i="44"/>
  <c r="AR63" i="44" s="1"/>
  <c r="AK62" i="44"/>
  <c r="AR62" i="44" s="1"/>
  <c r="AK61" i="44"/>
  <c r="AR61" i="44" s="1"/>
  <c r="AK59" i="44"/>
  <c r="AR59" i="44" s="1"/>
  <c r="AK58" i="44"/>
  <c r="AR58" i="44" s="1"/>
  <c r="AK57" i="44"/>
  <c r="AR57" i="44" s="1"/>
  <c r="AK56" i="44"/>
  <c r="AR56" i="44" s="1"/>
  <c r="AK54" i="44"/>
  <c r="AR54" i="44" s="1"/>
  <c r="AK53" i="44"/>
  <c r="AR53" i="44" s="1"/>
  <c r="AK51" i="44"/>
  <c r="AR51" i="44" s="1"/>
  <c r="AK50" i="44"/>
  <c r="AR50" i="44" s="1"/>
  <c r="AK48" i="44"/>
  <c r="AR48" i="44" s="1"/>
  <c r="AK47" i="44"/>
  <c r="AR47" i="44" s="1"/>
  <c r="AK46" i="44"/>
  <c r="AR46" i="44" s="1"/>
  <c r="AK45" i="44"/>
  <c r="AR45" i="44" s="1"/>
  <c r="AK43" i="44"/>
  <c r="AR43" i="44" s="1"/>
  <c r="AK42" i="44"/>
  <c r="AR42" i="44" s="1"/>
  <c r="AK41" i="44"/>
  <c r="AR41" i="44" s="1"/>
  <c r="AK40" i="44"/>
  <c r="AR40" i="44" s="1"/>
  <c r="AK38" i="44"/>
  <c r="AR38" i="44" s="1"/>
  <c r="AK37" i="44"/>
  <c r="AR37" i="44" s="1"/>
  <c r="AK36" i="44"/>
  <c r="AR36" i="44" s="1"/>
  <c r="AK35" i="44"/>
  <c r="AR35" i="44" s="1"/>
  <c r="AK33" i="44"/>
  <c r="AR33" i="44" s="1"/>
  <c r="AK32" i="44"/>
  <c r="AR32" i="44" s="1"/>
  <c r="AK31" i="44"/>
  <c r="AR31" i="44" s="1"/>
  <c r="AK30" i="44"/>
  <c r="AR30" i="44" s="1"/>
  <c r="AK28" i="44"/>
  <c r="AR28" i="44" s="1"/>
  <c r="AK27" i="44"/>
  <c r="AR27" i="44" s="1"/>
  <c r="AK26" i="44"/>
  <c r="AR26" i="44" s="1"/>
  <c r="AK25" i="44"/>
  <c r="AR25" i="44" s="1"/>
  <c r="AK23" i="44"/>
  <c r="AR23" i="44" s="1"/>
  <c r="AK22" i="44"/>
  <c r="AR22" i="44" s="1"/>
  <c r="AK21" i="44"/>
  <c r="AR21" i="44" s="1"/>
  <c r="AK20" i="44"/>
  <c r="AR20" i="44" s="1"/>
  <c r="AK18" i="44"/>
  <c r="AR18" i="44" s="1"/>
  <c r="AK17" i="44"/>
  <c r="AR17" i="44" s="1"/>
  <c r="AK15" i="44"/>
  <c r="AR15" i="44" s="1"/>
  <c r="AK14" i="44"/>
  <c r="AR14" i="44" s="1"/>
  <c r="AK13" i="44"/>
  <c r="AR13" i="44" s="1"/>
  <c r="Y101" i="44"/>
  <c r="AN101" i="44" s="1"/>
  <c r="Y100" i="44"/>
  <c r="AN100" i="44" s="1"/>
  <c r="Y99" i="44"/>
  <c r="AN99" i="44" s="1"/>
  <c r="Y98" i="44"/>
  <c r="AN98" i="44" s="1"/>
  <c r="Y96" i="44"/>
  <c r="AN96" i="44" s="1"/>
  <c r="Y95" i="44"/>
  <c r="AN95" i="44" s="1"/>
  <c r="Y94" i="44"/>
  <c r="AN94" i="44" s="1"/>
  <c r="Y92" i="44"/>
  <c r="AN92" i="44" s="1"/>
  <c r="Y91" i="44"/>
  <c r="AN91" i="44" s="1"/>
  <c r="Y90" i="44"/>
  <c r="AN90" i="44" s="1"/>
  <c r="Y88" i="44"/>
  <c r="AN88" i="44" s="1"/>
  <c r="Y86" i="44"/>
  <c r="AN86" i="44" s="1"/>
  <c r="Y85" i="44"/>
  <c r="AN85" i="44" s="1"/>
  <c r="Y83" i="44"/>
  <c r="AN83" i="44" s="1"/>
  <c r="Y82" i="44"/>
  <c r="AN82" i="44" s="1"/>
  <c r="Y80" i="44"/>
  <c r="AN80" i="44" s="1"/>
  <c r="Y78" i="44"/>
  <c r="AN78" i="44" s="1"/>
  <c r="Y77" i="44"/>
  <c r="AN77" i="44" s="1"/>
  <c r="Y75" i="44"/>
  <c r="AN75" i="44" s="1"/>
  <c r="Y74" i="44"/>
  <c r="AN74" i="44" s="1"/>
  <c r="Y73" i="44"/>
  <c r="AN73" i="44" s="1"/>
  <c r="Y72" i="44"/>
  <c r="AN72" i="44" s="1"/>
  <c r="Y70" i="44"/>
  <c r="AN70" i="44" s="1"/>
  <c r="Y69" i="44"/>
  <c r="AN69" i="44" s="1"/>
  <c r="Y67" i="44"/>
  <c r="AN67" i="44" s="1"/>
  <c r="Y66" i="44"/>
  <c r="AN66" i="44" s="1"/>
  <c r="Y64" i="44"/>
  <c r="AN64" i="44" s="1"/>
  <c r="Y63" i="44"/>
  <c r="AN63" i="44" s="1"/>
  <c r="Y62" i="44"/>
  <c r="AN62" i="44" s="1"/>
  <c r="Y61" i="44"/>
  <c r="AN61" i="44" s="1"/>
  <c r="Y59" i="44"/>
  <c r="AN59" i="44" s="1"/>
  <c r="Y58" i="44"/>
  <c r="AN58" i="44" s="1"/>
  <c r="Y57" i="44"/>
  <c r="AN57" i="44" s="1"/>
  <c r="Y56" i="44"/>
  <c r="AN56" i="44" s="1"/>
  <c r="Y54" i="44"/>
  <c r="AN54" i="44" s="1"/>
  <c r="Y53" i="44"/>
  <c r="AN53" i="44" s="1"/>
  <c r="Y51" i="44"/>
  <c r="AN51" i="44" s="1"/>
  <c r="Y50" i="44"/>
  <c r="AN50" i="44" s="1"/>
  <c r="Y48" i="44"/>
  <c r="AN48" i="44" s="1"/>
  <c r="Y47" i="44"/>
  <c r="AN47" i="44" s="1"/>
  <c r="Y46" i="44"/>
  <c r="AN46" i="44" s="1"/>
  <c r="Y45" i="44"/>
  <c r="AN45" i="44" s="1"/>
  <c r="Y43" i="44"/>
  <c r="AN43" i="44" s="1"/>
  <c r="Y42" i="44"/>
  <c r="AN42" i="44" s="1"/>
  <c r="Y41" i="44"/>
  <c r="AN41" i="44" s="1"/>
  <c r="Y40" i="44"/>
  <c r="AN40" i="44" s="1"/>
  <c r="Y38" i="44"/>
  <c r="AN38" i="44" s="1"/>
  <c r="Y37" i="44"/>
  <c r="AN37" i="44" s="1"/>
  <c r="Y36" i="44"/>
  <c r="AN36" i="44" s="1"/>
  <c r="Y35" i="44"/>
  <c r="AN35" i="44" s="1"/>
  <c r="Y33" i="44"/>
  <c r="AN33" i="44" s="1"/>
  <c r="Y32" i="44"/>
  <c r="AN32" i="44" s="1"/>
  <c r="Y31" i="44"/>
  <c r="AN31" i="44" s="1"/>
  <c r="Y30" i="44"/>
  <c r="AN30" i="44" s="1"/>
  <c r="Y28" i="44"/>
  <c r="AN28" i="44" s="1"/>
  <c r="Y27" i="44"/>
  <c r="AN27" i="44" s="1"/>
  <c r="Y26" i="44"/>
  <c r="AN26" i="44" s="1"/>
  <c r="Y25" i="44"/>
  <c r="AN25" i="44" s="1"/>
  <c r="Y23" i="44"/>
  <c r="AN23" i="44" s="1"/>
  <c r="Y22" i="44"/>
  <c r="AN22" i="44" s="1"/>
  <c r="Y21" i="44"/>
  <c r="AN21" i="44" s="1"/>
  <c r="Y20" i="44"/>
  <c r="AN20" i="44" s="1"/>
  <c r="Y18" i="44"/>
  <c r="AN18" i="44" s="1"/>
  <c r="Y17" i="44"/>
  <c r="AN17" i="44" s="1"/>
  <c r="Y15" i="44"/>
  <c r="AN15" i="44" s="1"/>
  <c r="Y14" i="44"/>
  <c r="AN14" i="44" s="1"/>
  <c r="Y13" i="44"/>
  <c r="AN13" i="44" s="1"/>
  <c r="AK12" i="44"/>
  <c r="AR12" i="44" s="1"/>
  <c r="Y12" i="44"/>
  <c r="AN12" i="44" s="1"/>
  <c r="O12" i="44"/>
  <c r="N102" i="44"/>
  <c r="J102" i="44"/>
  <c r="N97" i="44"/>
  <c r="J97" i="44"/>
  <c r="N89" i="44"/>
  <c r="J89" i="44"/>
  <c r="N87" i="44"/>
  <c r="J87" i="44"/>
  <c r="N81" i="44"/>
  <c r="J81" i="44"/>
  <c r="N79" i="44"/>
  <c r="J79" i="44"/>
  <c r="N76" i="44"/>
  <c r="J76" i="44"/>
  <c r="N71" i="44"/>
  <c r="J71" i="44"/>
  <c r="N68" i="44"/>
  <c r="J68" i="44"/>
  <c r="N65" i="44"/>
  <c r="J65" i="44"/>
  <c r="N60" i="44"/>
  <c r="J60" i="44"/>
  <c r="N55" i="44"/>
  <c r="J55" i="44"/>
  <c r="N49" i="44"/>
  <c r="J49" i="44"/>
  <c r="N44" i="44"/>
  <c r="J44" i="44"/>
  <c r="N39" i="44"/>
  <c r="J39" i="44"/>
  <c r="N34" i="44"/>
  <c r="J34" i="44"/>
  <c r="N29" i="44"/>
  <c r="J29" i="44"/>
  <c r="N24" i="44"/>
  <c r="J24" i="44"/>
  <c r="N16" i="44"/>
  <c r="J16" i="44"/>
  <c r="U12" i="44" l="1"/>
  <c r="K103" i="44"/>
  <c r="D14" i="47" s="1"/>
  <c r="N103" i="44"/>
  <c r="G14" i="47" s="1"/>
  <c r="L103" i="44"/>
  <c r="E14" i="47" s="1"/>
  <c r="J103" i="44"/>
  <c r="C14" i="47" s="1"/>
  <c r="AK364" i="48"/>
  <c r="AK363" i="48"/>
  <c r="AK361" i="48"/>
  <c r="AK359" i="48"/>
  <c r="AK358" i="48"/>
  <c r="AK357" i="48"/>
  <c r="AK356" i="48"/>
  <c r="AK354" i="48"/>
  <c r="AK353" i="48"/>
  <c r="AK351" i="48"/>
  <c r="AK350" i="48"/>
  <c r="AK348" i="48"/>
  <c r="AK347" i="48"/>
  <c r="AK346" i="48"/>
  <c r="AK345" i="48"/>
  <c r="AK343" i="48"/>
  <c r="AK342" i="48"/>
  <c r="AK341" i="48"/>
  <c r="AK340" i="48"/>
  <c r="AK338" i="48"/>
  <c r="AK337" i="48"/>
  <c r="AK336" i="48"/>
  <c r="AK335" i="48"/>
  <c r="AK333" i="48"/>
  <c r="AK332" i="48"/>
  <c r="AK330" i="48"/>
  <c r="AK329" i="48"/>
  <c r="AK327" i="48"/>
  <c r="AK326" i="48"/>
  <c r="AK325" i="48"/>
  <c r="AK324" i="48"/>
  <c r="AK322" i="48"/>
  <c r="AK321" i="48"/>
  <c r="AK320" i="48"/>
  <c r="AK319" i="48"/>
  <c r="AK317" i="48"/>
  <c r="AK316" i="48"/>
  <c r="AK315" i="48"/>
  <c r="AK313" i="48"/>
  <c r="AK311" i="48"/>
  <c r="AK310" i="48"/>
  <c r="AK308" i="48"/>
  <c r="AK307" i="48"/>
  <c r="AK305" i="48"/>
  <c r="AK303" i="48"/>
  <c r="AK302" i="48"/>
  <c r="AK301" i="48"/>
  <c r="AK300" i="48"/>
  <c r="AK298" i="48"/>
  <c r="AK297" i="48"/>
  <c r="AK295" i="48"/>
  <c r="AK294" i="48"/>
  <c r="AK293" i="48"/>
  <c r="AK292" i="48"/>
  <c r="AK290" i="48"/>
  <c r="AK289" i="48"/>
  <c r="AK287" i="48"/>
  <c r="AK285" i="48"/>
  <c r="AK284" i="48"/>
  <c r="AK283" i="48"/>
  <c r="AK281" i="48"/>
  <c r="AK279" i="48"/>
  <c r="AK278" i="48"/>
  <c r="AK277" i="48"/>
  <c r="AK275" i="48"/>
  <c r="AK274" i="48"/>
  <c r="AK273" i="48"/>
  <c r="AK272" i="48"/>
  <c r="AK271" i="48"/>
  <c r="AK270" i="48"/>
  <c r="AK268" i="48"/>
  <c r="AK267" i="48"/>
  <c r="AK265" i="48"/>
  <c r="AK264" i="48"/>
  <c r="AK262" i="48"/>
  <c r="AK261" i="48"/>
  <c r="AK259" i="48"/>
  <c r="AK257" i="48"/>
  <c r="AK256" i="48"/>
  <c r="AK255" i="48"/>
  <c r="AK253" i="48"/>
  <c r="AK252" i="48"/>
  <c r="AK250" i="48"/>
  <c r="AK249" i="48"/>
  <c r="AK248" i="48"/>
  <c r="AK247" i="48"/>
  <c r="AK245" i="48"/>
  <c r="AK244" i="48"/>
  <c r="AK243" i="48"/>
  <c r="AK242" i="48"/>
  <c r="AK240" i="48"/>
  <c r="AK238" i="48"/>
  <c r="AK237" i="48"/>
  <c r="AK236" i="48"/>
  <c r="AK234" i="48"/>
  <c r="AK233" i="48"/>
  <c r="AK231" i="48"/>
  <c r="AK230" i="48"/>
  <c r="AK229" i="48"/>
  <c r="AK227" i="48"/>
  <c r="AK226" i="48"/>
  <c r="AK225" i="48"/>
  <c r="AK224" i="48"/>
  <c r="AK222" i="48"/>
  <c r="AK221" i="48"/>
  <c r="AK219" i="48"/>
  <c r="AK218" i="48"/>
  <c r="AK216" i="48"/>
  <c r="AK214" i="48"/>
  <c r="AK213" i="48"/>
  <c r="AK211" i="48"/>
  <c r="AK210" i="48"/>
  <c r="AK208" i="48"/>
  <c r="AK206" i="48"/>
  <c r="AK205" i="48"/>
  <c r="AK204" i="48"/>
  <c r="AK203" i="48"/>
  <c r="AK201" i="48"/>
  <c r="AK200" i="48"/>
  <c r="AK198" i="48"/>
  <c r="AK196" i="48"/>
  <c r="AK195" i="48"/>
  <c r="AK193" i="48"/>
  <c r="AK191" i="48"/>
  <c r="AK190" i="48"/>
  <c r="AK188" i="48"/>
  <c r="AK186" i="48"/>
  <c r="AK185" i="48"/>
  <c r="AK183" i="48"/>
  <c r="AK181" i="48"/>
  <c r="AK180" i="48"/>
  <c r="AK178" i="48"/>
  <c r="AK176" i="48"/>
  <c r="AK175" i="48"/>
  <c r="AK173" i="48"/>
  <c r="AK171" i="48"/>
  <c r="AK170" i="48"/>
  <c r="AK169" i="48"/>
  <c r="AK168" i="48"/>
  <c r="AK166" i="48"/>
  <c r="AK165" i="48"/>
  <c r="AK164" i="48"/>
  <c r="AK162" i="48"/>
  <c r="AK161" i="48"/>
  <c r="AK159" i="48"/>
  <c r="AK157" i="48"/>
  <c r="AK156" i="48"/>
  <c r="AK153" i="48"/>
  <c r="AK151" i="48"/>
  <c r="AK150" i="48"/>
  <c r="AK148" i="48"/>
  <c r="AK147" i="48"/>
  <c r="AK145" i="48"/>
  <c r="AK144" i="48"/>
  <c r="AK142" i="48"/>
  <c r="AK140" i="48"/>
  <c r="AK139" i="48"/>
  <c r="AK138" i="48"/>
  <c r="AK136" i="48"/>
  <c r="AK134" i="48"/>
  <c r="AK133" i="48"/>
  <c r="AK131" i="48"/>
  <c r="AK129" i="48"/>
  <c r="AK128" i="48"/>
  <c r="AK126" i="48"/>
  <c r="AK124" i="48"/>
  <c r="AK123" i="48"/>
  <c r="AK121" i="48"/>
  <c r="AK119" i="48"/>
  <c r="AK118" i="48"/>
  <c r="AK116" i="48"/>
  <c r="AK114" i="48"/>
  <c r="AK113" i="48"/>
  <c r="AK111" i="48"/>
  <c r="AK109" i="48"/>
  <c r="AK108" i="48"/>
  <c r="AK107" i="48"/>
  <c r="AK105" i="48"/>
  <c r="AK103" i="48"/>
  <c r="AK102" i="48"/>
  <c r="AK100" i="48"/>
  <c r="AK99" i="48"/>
  <c r="AK97" i="48"/>
  <c r="AK96" i="48"/>
  <c r="AK95" i="48"/>
  <c r="AK93" i="48"/>
  <c r="AK92" i="48"/>
  <c r="AK90" i="48"/>
  <c r="AK88" i="48"/>
  <c r="AK87" i="48"/>
  <c r="AK85" i="48"/>
  <c r="AK84" i="48"/>
  <c r="AK82" i="48"/>
  <c r="AK80" i="48"/>
  <c r="AK79" i="48"/>
  <c r="AK77" i="48"/>
  <c r="AK76" i="48"/>
  <c r="AK74" i="48"/>
  <c r="AK73" i="48"/>
  <c r="AK71" i="48"/>
  <c r="AK70" i="48"/>
  <c r="AK68" i="48"/>
  <c r="AK67" i="48"/>
  <c r="AK65" i="48"/>
  <c r="AK64" i="48"/>
  <c r="AK62" i="48"/>
  <c r="AK61" i="48"/>
  <c r="AK59" i="48"/>
  <c r="AK58" i="48"/>
  <c r="AK57" i="48"/>
  <c r="AK55" i="48"/>
  <c r="AK53" i="48"/>
  <c r="AK52" i="48"/>
  <c r="AK50" i="48"/>
  <c r="AK49" i="48"/>
  <c r="AK47" i="48"/>
  <c r="AK46" i="48"/>
  <c r="AK44" i="48"/>
  <c r="AK42" i="48"/>
  <c r="AK40" i="48"/>
  <c r="AK38" i="48"/>
  <c r="AK37" i="48"/>
  <c r="AK35" i="48"/>
  <c r="AK34" i="48"/>
  <c r="AK32" i="48"/>
  <c r="AK31" i="48"/>
  <c r="AK29" i="48"/>
  <c r="AK28" i="48"/>
  <c r="AK26" i="48"/>
  <c r="AK25" i="48"/>
  <c r="AK23" i="48"/>
  <c r="AK22" i="48"/>
  <c r="AK21" i="48"/>
  <c r="AK19" i="48"/>
  <c r="AK18" i="48"/>
  <c r="AK16" i="48"/>
  <c r="AK15" i="48"/>
  <c r="AK14" i="48"/>
  <c r="Y364" i="48"/>
  <c r="Y363" i="48"/>
  <c r="Y361" i="48"/>
  <c r="Y359" i="48"/>
  <c r="AN359" i="48" s="1"/>
  <c r="Y358" i="48"/>
  <c r="Y357" i="48"/>
  <c r="Y356" i="48"/>
  <c r="Y354" i="48"/>
  <c r="Y353" i="48"/>
  <c r="AN353" i="48" s="1"/>
  <c r="Y351" i="48"/>
  <c r="AN351" i="48" s="1"/>
  <c r="Y350" i="48"/>
  <c r="Y348" i="48"/>
  <c r="Y347" i="48"/>
  <c r="Y346" i="48"/>
  <c r="AN346" i="48" s="1"/>
  <c r="Y345" i="48"/>
  <c r="AN345" i="48" s="1"/>
  <c r="Y343" i="48"/>
  <c r="Y342" i="48"/>
  <c r="Y341" i="48"/>
  <c r="AN341" i="48" s="1"/>
  <c r="Y340" i="48"/>
  <c r="Y338" i="48"/>
  <c r="AN338" i="48" s="1"/>
  <c r="Y337" i="48"/>
  <c r="Y336" i="48"/>
  <c r="AN336" i="48" s="1"/>
  <c r="Y335" i="48"/>
  <c r="Y333" i="48"/>
  <c r="Y332" i="48"/>
  <c r="AN332" i="48" s="1"/>
  <c r="Y330" i="48"/>
  <c r="AN330" i="48" s="1"/>
  <c r="Y329" i="48"/>
  <c r="Y327" i="48"/>
  <c r="Y326" i="48"/>
  <c r="Y325" i="48"/>
  <c r="AN325" i="48" s="1"/>
  <c r="Y324" i="48"/>
  <c r="AN324" i="48" s="1"/>
  <c r="Y322" i="48"/>
  <c r="Y321" i="48"/>
  <c r="Y320" i="48"/>
  <c r="AN320" i="48" s="1"/>
  <c r="Y319" i="48"/>
  <c r="Y317" i="48"/>
  <c r="AN317" i="48" s="1"/>
  <c r="Y316" i="48"/>
  <c r="AN316" i="48" s="1"/>
  <c r="Y315" i="48"/>
  <c r="AN315" i="48" s="1"/>
  <c r="Y313" i="48"/>
  <c r="Y311" i="48"/>
  <c r="Y310" i="48"/>
  <c r="AN310" i="48" s="1"/>
  <c r="Y308" i="48"/>
  <c r="AN308" i="48" s="1"/>
  <c r="Y307" i="48"/>
  <c r="Y305" i="48"/>
  <c r="Y303" i="48"/>
  <c r="Y302" i="48"/>
  <c r="AN302" i="48" s="1"/>
  <c r="Y301" i="48"/>
  <c r="AN301" i="48" s="1"/>
  <c r="Y300" i="48"/>
  <c r="Y298" i="48"/>
  <c r="AN298" i="48" s="1"/>
  <c r="Y297" i="48"/>
  <c r="Y295" i="48"/>
  <c r="AN295" i="48" s="1"/>
  <c r="Y294" i="48"/>
  <c r="Y293" i="48"/>
  <c r="AN293" i="48" s="1"/>
  <c r="Y292" i="48"/>
  <c r="Y290" i="48"/>
  <c r="Y289" i="48"/>
  <c r="AN289" i="48" s="1"/>
  <c r="Y287" i="48"/>
  <c r="AN287" i="48" s="1"/>
  <c r="Y285" i="48"/>
  <c r="AN285" i="48" s="1"/>
  <c r="Y284" i="48"/>
  <c r="Y283" i="48"/>
  <c r="AN283" i="48" s="1"/>
  <c r="Y281" i="48"/>
  <c r="Y279" i="48"/>
  <c r="AN279" i="48" s="1"/>
  <c r="Y278" i="48"/>
  <c r="Y277" i="48"/>
  <c r="AN277" i="48" s="1"/>
  <c r="Y275" i="48"/>
  <c r="AN275" i="48" s="1"/>
  <c r="Y274" i="48"/>
  <c r="AN274" i="48" s="1"/>
  <c r="Y273" i="48"/>
  <c r="AN273" i="48" s="1"/>
  <c r="Y272" i="48"/>
  <c r="AN272" i="48" s="1"/>
  <c r="Y271" i="48"/>
  <c r="Y270" i="48"/>
  <c r="AN270" i="48" s="1"/>
  <c r="Y268" i="48"/>
  <c r="AN268" i="48" s="1"/>
  <c r="Y267" i="48"/>
  <c r="Y265" i="48"/>
  <c r="AN265" i="48" s="1"/>
  <c r="Y264" i="48"/>
  <c r="AN264" i="48" s="1"/>
  <c r="Y262" i="48"/>
  <c r="Y261" i="48"/>
  <c r="Y259" i="48"/>
  <c r="AN259" i="48" s="1"/>
  <c r="Y257" i="48"/>
  <c r="AN257" i="48" s="1"/>
  <c r="Y256" i="48"/>
  <c r="AN256" i="48" s="1"/>
  <c r="Y255" i="48"/>
  <c r="Y253" i="48"/>
  <c r="Y252" i="48"/>
  <c r="AN252" i="48" s="1"/>
  <c r="Y250" i="48"/>
  <c r="AN250" i="48" s="1"/>
  <c r="Y249" i="48"/>
  <c r="AN249" i="48" s="1"/>
  <c r="Y248" i="48"/>
  <c r="Y247" i="48"/>
  <c r="Y245" i="48"/>
  <c r="AN245" i="48" s="1"/>
  <c r="Y244" i="48"/>
  <c r="AN244" i="48" s="1"/>
  <c r="Y243" i="48"/>
  <c r="AN243" i="48" s="1"/>
  <c r="Y242" i="48"/>
  <c r="AN242" i="48" s="1"/>
  <c r="Y240" i="48"/>
  <c r="Y238" i="48"/>
  <c r="Y237" i="48"/>
  <c r="AN237" i="48" s="1"/>
  <c r="Y236" i="48"/>
  <c r="AN236" i="48" s="1"/>
  <c r="Y234" i="48"/>
  <c r="AN234" i="48" s="1"/>
  <c r="Y233" i="48"/>
  <c r="AN233" i="48" s="1"/>
  <c r="Y231" i="48"/>
  <c r="AN231" i="48" s="1"/>
  <c r="Y230" i="48"/>
  <c r="Y229" i="48"/>
  <c r="AN229" i="48" s="1"/>
  <c r="Y227" i="48"/>
  <c r="AN227" i="48" s="1"/>
  <c r="Y226" i="48"/>
  <c r="AN226" i="48" s="1"/>
  <c r="Y225" i="48"/>
  <c r="Y224" i="48"/>
  <c r="Y222" i="48"/>
  <c r="AN222" i="48" s="1"/>
  <c r="Y221" i="48"/>
  <c r="Y219" i="48"/>
  <c r="AN219" i="48" s="1"/>
  <c r="Y218" i="48"/>
  <c r="Y216" i="48"/>
  <c r="AN216" i="48" s="1"/>
  <c r="Y214" i="48"/>
  <c r="AN214" i="48" s="1"/>
  <c r="Y213" i="48"/>
  <c r="Y211" i="48"/>
  <c r="AN211" i="48" s="1"/>
  <c r="Y210" i="48"/>
  <c r="AN210" i="48" s="1"/>
  <c r="Y208" i="48"/>
  <c r="Y206" i="48"/>
  <c r="Y205" i="48"/>
  <c r="AN205" i="48" s="1"/>
  <c r="Y204" i="48"/>
  <c r="AN204" i="48" s="1"/>
  <c r="Y203" i="48"/>
  <c r="AN203" i="48" s="1"/>
  <c r="Y201" i="48"/>
  <c r="Y200" i="48"/>
  <c r="Y198" i="48"/>
  <c r="AN198" i="48" s="1"/>
  <c r="Y196" i="48"/>
  <c r="AN196" i="48" s="1"/>
  <c r="Y195" i="48"/>
  <c r="AN195" i="48" s="1"/>
  <c r="Y193" i="48"/>
  <c r="Y191" i="48"/>
  <c r="Y190" i="48"/>
  <c r="AN190" i="48" s="1"/>
  <c r="Y188" i="48"/>
  <c r="AN188" i="48" s="1"/>
  <c r="Y186" i="48"/>
  <c r="AN186" i="48" s="1"/>
  <c r="Y185" i="48"/>
  <c r="Y183" i="48"/>
  <c r="Y181" i="48"/>
  <c r="Y180" i="48"/>
  <c r="AN180" i="48" s="1"/>
  <c r="Y178" i="48"/>
  <c r="AN178" i="48" s="1"/>
  <c r="Y176" i="48"/>
  <c r="AN176" i="48" s="1"/>
  <c r="Y175" i="48"/>
  <c r="AN175" i="48" s="1"/>
  <c r="Y173" i="48"/>
  <c r="AN173" i="48" s="1"/>
  <c r="Y171" i="48"/>
  <c r="AN171" i="48" s="1"/>
  <c r="Y170" i="48"/>
  <c r="AN170" i="48" s="1"/>
  <c r="Y169" i="48"/>
  <c r="Y168" i="48"/>
  <c r="Y166" i="48"/>
  <c r="AN166" i="48" s="1"/>
  <c r="Y165" i="48"/>
  <c r="AN165" i="48" s="1"/>
  <c r="Y164" i="48"/>
  <c r="AN164" i="48" s="1"/>
  <c r="Y162" i="48"/>
  <c r="AN162" i="48" s="1"/>
  <c r="Y161" i="48"/>
  <c r="AN161" i="48" s="1"/>
  <c r="Y159" i="48"/>
  <c r="Y157" i="48"/>
  <c r="AN157" i="48" s="1"/>
  <c r="Y156" i="48"/>
  <c r="AN156" i="48" s="1"/>
  <c r="Y155" i="48"/>
  <c r="Y153" i="48"/>
  <c r="Y151" i="48"/>
  <c r="AN151" i="48" s="1"/>
  <c r="Y150" i="48"/>
  <c r="AN150" i="48" s="1"/>
  <c r="Y148" i="48"/>
  <c r="AN148" i="48" s="1"/>
  <c r="Y147" i="48"/>
  <c r="Y145" i="48"/>
  <c r="Y144" i="48"/>
  <c r="Y142" i="48"/>
  <c r="AN142" i="48" s="1"/>
  <c r="Y140" i="48"/>
  <c r="AN140" i="48" s="1"/>
  <c r="Y139" i="48"/>
  <c r="Y138" i="48"/>
  <c r="AN138" i="48" s="1"/>
  <c r="Y136" i="48"/>
  <c r="Y134" i="48"/>
  <c r="Y133" i="48"/>
  <c r="AN133" i="48" s="1"/>
  <c r="Y131" i="48"/>
  <c r="AN131" i="48" s="1"/>
  <c r="Y129" i="48"/>
  <c r="Y128" i="48"/>
  <c r="Y126" i="48"/>
  <c r="AN126" i="48" s="1"/>
  <c r="Y124" i="48"/>
  <c r="AN124" i="48" s="1"/>
  <c r="Y123" i="48"/>
  <c r="AN123" i="48" s="1"/>
  <c r="Y121" i="48"/>
  <c r="Y119" i="48"/>
  <c r="Y118" i="48"/>
  <c r="Y116" i="48"/>
  <c r="AN116" i="48" s="1"/>
  <c r="Y114" i="48"/>
  <c r="AN114" i="48" s="1"/>
  <c r="Y113" i="48"/>
  <c r="Y111" i="48"/>
  <c r="Y109" i="48"/>
  <c r="AN109" i="48" s="1"/>
  <c r="Y108" i="48"/>
  <c r="AN108" i="48" s="1"/>
  <c r="Y107" i="48"/>
  <c r="AN107" i="48" s="1"/>
  <c r="Y105" i="48"/>
  <c r="Y103" i="48"/>
  <c r="Y102" i="48"/>
  <c r="Y100" i="48"/>
  <c r="AN100" i="48" s="1"/>
  <c r="Y99" i="48"/>
  <c r="AN99" i="48" s="1"/>
  <c r="Y97" i="48"/>
  <c r="Y96" i="48"/>
  <c r="Y95" i="48"/>
  <c r="Y93" i="48"/>
  <c r="Y92" i="48"/>
  <c r="AN92" i="48" s="1"/>
  <c r="Y90" i="48"/>
  <c r="AN90" i="48" s="1"/>
  <c r="Y88" i="48"/>
  <c r="Y87" i="48"/>
  <c r="Y85" i="48"/>
  <c r="Y84" i="48"/>
  <c r="AN84" i="48" s="1"/>
  <c r="Y82" i="48"/>
  <c r="AN82" i="48" s="1"/>
  <c r="Y80" i="48"/>
  <c r="Y79" i="48"/>
  <c r="Y77" i="48"/>
  <c r="Y76" i="48"/>
  <c r="AN76" i="48" s="1"/>
  <c r="Y74" i="48"/>
  <c r="AN74" i="48" s="1"/>
  <c r="Y73" i="48"/>
  <c r="Y71" i="48"/>
  <c r="Y70" i="48"/>
  <c r="AN70" i="48" s="1"/>
  <c r="Y68" i="48"/>
  <c r="AN68" i="48" s="1"/>
  <c r="Y67" i="48"/>
  <c r="AN67" i="48" s="1"/>
  <c r="Y65" i="48"/>
  <c r="Y64" i="48"/>
  <c r="Y62" i="48"/>
  <c r="AN62" i="48" s="1"/>
  <c r="Y61" i="48"/>
  <c r="Y59" i="48"/>
  <c r="AN59" i="48" s="1"/>
  <c r="Y58" i="48"/>
  <c r="AN58" i="48" s="1"/>
  <c r="Y57" i="48"/>
  <c r="Y55" i="48"/>
  <c r="Y53" i="48"/>
  <c r="Y52" i="48"/>
  <c r="AN52" i="48" s="1"/>
  <c r="Y50" i="48"/>
  <c r="Y49" i="48"/>
  <c r="Y47" i="48"/>
  <c r="Y46" i="48"/>
  <c r="AN46" i="48" s="1"/>
  <c r="Y44" i="48"/>
  <c r="AN44" i="48" s="1"/>
  <c r="Y42" i="48"/>
  <c r="Y40" i="48"/>
  <c r="Y38" i="48"/>
  <c r="Y37" i="48"/>
  <c r="Y35" i="48"/>
  <c r="Y34" i="48"/>
  <c r="Y32" i="48"/>
  <c r="AN32" i="48" s="1"/>
  <c r="Y31" i="48"/>
  <c r="AN31" i="48" s="1"/>
  <c r="Y29" i="48"/>
  <c r="Y28" i="48"/>
  <c r="Y26" i="48"/>
  <c r="Y25" i="48"/>
  <c r="Y23" i="48"/>
  <c r="AN23" i="48" s="1"/>
  <c r="Y22" i="48"/>
  <c r="AN22" i="48" s="1"/>
  <c r="Y21" i="48"/>
  <c r="Y19" i="48"/>
  <c r="Y18" i="48"/>
  <c r="AN18" i="48" s="1"/>
  <c r="Y16" i="48"/>
  <c r="Y15" i="48"/>
  <c r="Y14" i="48"/>
  <c r="AK12" i="48"/>
  <c r="AM12" i="44" l="1"/>
  <c r="Z12" i="44"/>
  <c r="AA12" i="44"/>
  <c r="AO12" i="44" s="1"/>
  <c r="AB12" i="44"/>
  <c r="AP12" i="44" s="1"/>
  <c r="J366" i="48"/>
  <c r="N366" i="48"/>
  <c r="G13" i="47" s="1"/>
  <c r="K366" i="48"/>
  <c r="L366" i="48"/>
  <c r="I104" i="44"/>
  <c r="I103" i="44"/>
  <c r="B14" i="47" s="1"/>
  <c r="AN15" i="48"/>
  <c r="AN118" i="48"/>
  <c r="AN113" i="48"/>
  <c r="AN14" i="48"/>
  <c r="AN21" i="48"/>
  <c r="AN26" i="48"/>
  <c r="AN35" i="48"/>
  <c r="AN49" i="48"/>
  <c r="AN64" i="48"/>
  <c r="AN73" i="48"/>
  <c r="AN155" i="48"/>
  <c r="AN240" i="48"/>
  <c r="AN322" i="48"/>
  <c r="AN16" i="48"/>
  <c r="AN50" i="48"/>
  <c r="AN55" i="48"/>
  <c r="AN65" i="48"/>
  <c r="AN121" i="48"/>
  <c r="AN193" i="48"/>
  <c r="AN255" i="48"/>
  <c r="AN271" i="48"/>
  <c r="AN307" i="48"/>
  <c r="AN29" i="48"/>
  <c r="AN37" i="48"/>
  <c r="AN61" i="48"/>
  <c r="AN96" i="48"/>
  <c r="AN102" i="48"/>
  <c r="AN329" i="48"/>
  <c r="AN42" i="48"/>
  <c r="AN88" i="48"/>
  <c r="AN93" i="48"/>
  <c r="AN105" i="48"/>
  <c r="AN144" i="48"/>
  <c r="AN147" i="48"/>
  <c r="AN208" i="48"/>
  <c r="AN294" i="48"/>
  <c r="AN350" i="48"/>
  <c r="AN38" i="48"/>
  <c r="AN47" i="48"/>
  <c r="AN80" i="48"/>
  <c r="AN248" i="48"/>
  <c r="AN218" i="48"/>
  <c r="AN343" i="48"/>
  <c r="AN19" i="48"/>
  <c r="AN53" i="48"/>
  <c r="AN57" i="48"/>
  <c r="AN77" i="48"/>
  <c r="AN129" i="48"/>
  <c r="AN134" i="48"/>
  <c r="AN139" i="48"/>
  <c r="AN225" i="48"/>
  <c r="AN278" i="48"/>
  <c r="AN337" i="48"/>
  <c r="AN85" i="48"/>
  <c r="AN25" i="48"/>
  <c r="AN34" i="48"/>
  <c r="AN201" i="48"/>
  <c r="AN300" i="48"/>
  <c r="AN358" i="48"/>
  <c r="AN97" i="48"/>
  <c r="AN28" i="48"/>
  <c r="AN71" i="48"/>
  <c r="AN79" i="48"/>
  <c r="AN87" i="48"/>
  <c r="AN95" i="48"/>
  <c r="AN103" i="48"/>
  <c r="AN111" i="48"/>
  <c r="AN119" i="48"/>
  <c r="AN128" i="48"/>
  <c r="AN136" i="48"/>
  <c r="AN145" i="48"/>
  <c r="AN153" i="48"/>
  <c r="AN168" i="48"/>
  <c r="AN183" i="48"/>
  <c r="AN191" i="48"/>
  <c r="AN200" i="48"/>
  <c r="AN206" i="48"/>
  <c r="AN230" i="48"/>
  <c r="AN238" i="48"/>
  <c r="AN253" i="48"/>
  <c r="AN261" i="48"/>
  <c r="AN292" i="48"/>
  <c r="AN305" i="48"/>
  <c r="AN313" i="48"/>
  <c r="AN321" i="48"/>
  <c r="AN327" i="48"/>
  <c r="AN335" i="48"/>
  <c r="AN342" i="48"/>
  <c r="AN348" i="48"/>
  <c r="AN356" i="48"/>
  <c r="AN363" i="48"/>
  <c r="AN357" i="48"/>
  <c r="AN213" i="48"/>
  <c r="AN221" i="48"/>
  <c r="AN267" i="48"/>
  <c r="AN281" i="48"/>
  <c r="AN290" i="48"/>
  <c r="AN297" i="48"/>
  <c r="AN303" i="48"/>
  <c r="AN311" i="48"/>
  <c r="AN319" i="48"/>
  <c r="AN326" i="48"/>
  <c r="AN333" i="48"/>
  <c r="AN340" i="48"/>
  <c r="AN347" i="48"/>
  <c r="AN354" i="48"/>
  <c r="AN361" i="48"/>
  <c r="AN40" i="48"/>
  <c r="AN169" i="48"/>
  <c r="AN181" i="48"/>
  <c r="AN262" i="48"/>
  <c r="AN159" i="48"/>
  <c r="AN224" i="48"/>
  <c r="AN284" i="48"/>
  <c r="AN185" i="48"/>
  <c r="AN247" i="48"/>
  <c r="AN364" i="48"/>
  <c r="I367" i="48" l="1"/>
  <c r="E13" i="47"/>
  <c r="C13" i="47"/>
  <c r="D13" i="47"/>
  <c r="AD12" i="44"/>
  <c r="AL12" i="44" s="1"/>
  <c r="I366" i="48"/>
  <c r="Y12" i="48"/>
  <c r="AN12" i="48" s="1"/>
  <c r="O12" i="48"/>
  <c r="O13" i="48" s="1"/>
  <c r="U330" i="48"/>
  <c r="O374" i="48"/>
  <c r="O375" i="48"/>
  <c r="X13" i="48"/>
  <c r="AG13" i="48"/>
  <c r="AH13" i="48"/>
  <c r="AI13" i="48"/>
  <c r="AJ13" i="48"/>
  <c r="X17" i="48"/>
  <c r="AG17" i="48"/>
  <c r="AH17" i="48"/>
  <c r="AI17" i="48"/>
  <c r="AJ17" i="48"/>
  <c r="X20" i="48"/>
  <c r="AG20" i="48"/>
  <c r="AH20" i="48"/>
  <c r="AI20" i="48"/>
  <c r="AJ20" i="48"/>
  <c r="X24" i="48"/>
  <c r="AG24" i="48"/>
  <c r="AH24" i="48"/>
  <c r="AI24" i="48"/>
  <c r="AJ24" i="48"/>
  <c r="X27" i="48"/>
  <c r="AG27" i="48"/>
  <c r="AH27" i="48"/>
  <c r="AI27" i="48"/>
  <c r="AJ27" i="48"/>
  <c r="X30" i="48"/>
  <c r="AG30" i="48"/>
  <c r="AH30" i="48"/>
  <c r="AI30" i="48"/>
  <c r="AJ30" i="48"/>
  <c r="X33" i="48"/>
  <c r="AG33" i="48"/>
  <c r="AH33" i="48"/>
  <c r="AI33" i="48"/>
  <c r="AJ33" i="48"/>
  <c r="X36" i="48"/>
  <c r="AG36" i="48"/>
  <c r="AH36" i="48"/>
  <c r="AI36" i="48"/>
  <c r="AJ36" i="48"/>
  <c r="X39" i="48"/>
  <c r="AG39" i="48"/>
  <c r="AH39" i="48"/>
  <c r="AI39" i="48"/>
  <c r="AJ39" i="48"/>
  <c r="X41" i="48"/>
  <c r="AG41" i="48"/>
  <c r="AH41" i="48"/>
  <c r="AI41" i="48"/>
  <c r="AJ41" i="48"/>
  <c r="X43" i="48"/>
  <c r="AG43" i="48"/>
  <c r="AH43" i="48"/>
  <c r="AI43" i="48"/>
  <c r="AJ43" i="48"/>
  <c r="X45" i="48"/>
  <c r="AG45" i="48"/>
  <c r="AH45" i="48"/>
  <c r="AI45" i="48"/>
  <c r="AJ45" i="48"/>
  <c r="X48" i="48"/>
  <c r="AG48" i="48"/>
  <c r="AH48" i="48"/>
  <c r="AI48" i="48"/>
  <c r="AJ48" i="48"/>
  <c r="X51" i="48"/>
  <c r="AG51" i="48"/>
  <c r="AH51" i="48"/>
  <c r="AI51" i="48"/>
  <c r="AJ51" i="48"/>
  <c r="X54" i="48"/>
  <c r="AG54" i="48"/>
  <c r="AH54" i="48"/>
  <c r="AI54" i="48"/>
  <c r="AJ54" i="48"/>
  <c r="X56" i="48"/>
  <c r="AG56" i="48"/>
  <c r="AH56" i="48"/>
  <c r="AI56" i="48"/>
  <c r="AJ56" i="48"/>
  <c r="X60" i="48"/>
  <c r="AG60" i="48"/>
  <c r="AH60" i="48"/>
  <c r="AI60" i="48"/>
  <c r="AJ60" i="48"/>
  <c r="X63" i="48"/>
  <c r="AG63" i="48"/>
  <c r="AH63" i="48"/>
  <c r="AI63" i="48"/>
  <c r="AJ63" i="48"/>
  <c r="X66" i="48"/>
  <c r="AG66" i="48"/>
  <c r="AH66" i="48"/>
  <c r="AI66" i="48"/>
  <c r="AJ66" i="48"/>
  <c r="X69" i="48"/>
  <c r="AG69" i="48"/>
  <c r="AH69" i="48"/>
  <c r="AI69" i="48"/>
  <c r="AJ69" i="48"/>
  <c r="X72" i="48"/>
  <c r="AG72" i="48"/>
  <c r="AH72" i="48"/>
  <c r="AI72" i="48"/>
  <c r="AJ72" i="48"/>
  <c r="X75" i="48"/>
  <c r="AG75" i="48"/>
  <c r="AH75" i="48"/>
  <c r="AI75" i="48"/>
  <c r="AJ75" i="48"/>
  <c r="X78" i="48"/>
  <c r="AG78" i="48"/>
  <c r="AH78" i="48"/>
  <c r="AI78" i="48"/>
  <c r="AJ78" i="48"/>
  <c r="X81" i="48"/>
  <c r="AG81" i="48"/>
  <c r="AH81" i="48"/>
  <c r="AI81" i="48"/>
  <c r="AJ81" i="48"/>
  <c r="X83" i="48"/>
  <c r="AG83" i="48"/>
  <c r="AH83" i="48"/>
  <c r="AI83" i="48"/>
  <c r="AJ83" i="48"/>
  <c r="X86" i="48"/>
  <c r="AG86" i="48"/>
  <c r="AH86" i="48"/>
  <c r="AI86" i="48"/>
  <c r="AJ86" i="48"/>
  <c r="X89" i="48"/>
  <c r="AG89" i="48"/>
  <c r="AH89" i="48"/>
  <c r="AI89" i="48"/>
  <c r="AJ89" i="48"/>
  <c r="X91" i="48"/>
  <c r="AG91" i="48"/>
  <c r="AH91" i="48"/>
  <c r="AI91" i="48"/>
  <c r="AJ91" i="48"/>
  <c r="X94" i="48"/>
  <c r="AG94" i="48"/>
  <c r="AH94" i="48"/>
  <c r="AI94" i="48"/>
  <c r="AJ94" i="48"/>
  <c r="X98" i="48"/>
  <c r="AG98" i="48"/>
  <c r="AH98" i="48"/>
  <c r="AI98" i="48"/>
  <c r="AJ98" i="48"/>
  <c r="X104" i="48"/>
  <c r="AG104" i="48"/>
  <c r="AH104" i="48"/>
  <c r="AI104" i="48"/>
  <c r="AJ104" i="48"/>
  <c r="X110" i="48"/>
  <c r="AG110" i="48"/>
  <c r="AH110" i="48"/>
  <c r="AI110" i="48"/>
  <c r="AJ110" i="48"/>
  <c r="X115" i="48"/>
  <c r="AG115" i="48"/>
  <c r="AH115" i="48"/>
  <c r="AI115" i="48"/>
  <c r="AJ115" i="48"/>
  <c r="X120" i="48"/>
  <c r="AG120" i="48"/>
  <c r="AH120" i="48"/>
  <c r="AI120" i="48"/>
  <c r="AJ120" i="48"/>
  <c r="X125" i="48"/>
  <c r="AG125" i="48"/>
  <c r="AH125" i="48"/>
  <c r="AI125" i="48"/>
  <c r="AJ125" i="48"/>
  <c r="X130" i="48"/>
  <c r="AG130" i="48"/>
  <c r="AH130" i="48"/>
  <c r="AI130" i="48"/>
  <c r="AJ130" i="48"/>
  <c r="X135" i="48"/>
  <c r="AG135" i="48"/>
  <c r="AH135" i="48"/>
  <c r="AI135" i="48"/>
  <c r="AJ135" i="48"/>
  <c r="X141" i="48"/>
  <c r="AG141" i="48"/>
  <c r="AH141" i="48"/>
  <c r="AI141" i="48"/>
  <c r="AJ141" i="48"/>
  <c r="X146" i="48"/>
  <c r="AG146" i="48"/>
  <c r="AH146" i="48"/>
  <c r="AI146" i="48"/>
  <c r="AJ146" i="48"/>
  <c r="X152" i="48"/>
  <c r="AG152" i="48"/>
  <c r="AH152" i="48"/>
  <c r="AI152" i="48"/>
  <c r="AJ152" i="48"/>
  <c r="X158" i="48"/>
  <c r="AG158" i="48"/>
  <c r="AH158" i="48"/>
  <c r="AI158" i="48"/>
  <c r="AJ158" i="48"/>
  <c r="X163" i="48"/>
  <c r="AG163" i="48"/>
  <c r="AH163" i="48"/>
  <c r="AI163" i="48"/>
  <c r="AJ163" i="48"/>
  <c r="X167" i="48"/>
  <c r="AG167" i="48"/>
  <c r="AH167" i="48"/>
  <c r="AI167" i="48"/>
  <c r="AJ167" i="48"/>
  <c r="X172" i="48"/>
  <c r="AG172" i="48"/>
  <c r="AH172" i="48"/>
  <c r="AI172" i="48"/>
  <c r="AJ172" i="48"/>
  <c r="X177" i="48"/>
  <c r="AG177" i="48"/>
  <c r="AH177" i="48"/>
  <c r="AI177" i="48"/>
  <c r="AJ177" i="48"/>
  <c r="X182" i="48"/>
  <c r="AG182" i="48"/>
  <c r="AH182" i="48"/>
  <c r="AI182" i="48"/>
  <c r="AJ182" i="48"/>
  <c r="X187" i="48"/>
  <c r="AG187" i="48"/>
  <c r="AH187" i="48"/>
  <c r="AI187" i="48"/>
  <c r="AJ187" i="48"/>
  <c r="X192" i="48"/>
  <c r="AG192" i="48"/>
  <c r="AH192" i="48"/>
  <c r="AI192" i="48"/>
  <c r="AJ192" i="48"/>
  <c r="X197" i="48"/>
  <c r="AG197" i="48"/>
  <c r="AH197" i="48"/>
  <c r="AI197" i="48"/>
  <c r="AJ197" i="48"/>
  <c r="X202" i="48"/>
  <c r="AG202" i="48"/>
  <c r="AH202" i="48"/>
  <c r="AI202" i="48"/>
  <c r="AJ202" i="48"/>
  <c r="X207" i="48"/>
  <c r="AG207" i="48"/>
  <c r="AH207" i="48"/>
  <c r="AI207" i="48"/>
  <c r="AJ207" i="48"/>
  <c r="X209" i="48"/>
  <c r="AG209" i="48"/>
  <c r="AH209" i="48"/>
  <c r="AI209" i="48"/>
  <c r="AJ209" i="48"/>
  <c r="X212" i="48"/>
  <c r="AG212" i="48"/>
  <c r="AH212" i="48"/>
  <c r="AI212" i="48"/>
  <c r="AJ212" i="48"/>
  <c r="X215" i="48"/>
  <c r="AG215" i="48"/>
  <c r="AH215" i="48"/>
  <c r="AI215" i="48"/>
  <c r="AJ215" i="48"/>
  <c r="X220" i="48"/>
  <c r="AG220" i="48"/>
  <c r="AH220" i="48"/>
  <c r="AI220" i="48"/>
  <c r="AJ220" i="48"/>
  <c r="X223" i="48"/>
  <c r="AG223" i="48"/>
  <c r="AH223" i="48"/>
  <c r="AI223" i="48"/>
  <c r="AJ223" i="48"/>
  <c r="X228" i="48"/>
  <c r="AG228" i="48"/>
  <c r="AH228" i="48"/>
  <c r="AI228" i="48"/>
  <c r="AJ228" i="48"/>
  <c r="X232" i="48"/>
  <c r="AG232" i="48"/>
  <c r="AH232" i="48"/>
  <c r="AI232" i="48"/>
  <c r="AJ232" i="48"/>
  <c r="X239" i="48"/>
  <c r="AG239" i="48"/>
  <c r="AH239" i="48"/>
  <c r="AI239" i="48"/>
  <c r="AJ239" i="48"/>
  <c r="X241" i="48"/>
  <c r="AG241" i="48"/>
  <c r="AH241" i="48"/>
  <c r="AI241" i="48"/>
  <c r="AJ241" i="48"/>
  <c r="X246" i="48"/>
  <c r="AG246" i="48"/>
  <c r="AH246" i="48"/>
  <c r="AI246" i="48"/>
  <c r="AJ246" i="48"/>
  <c r="X251" i="48"/>
  <c r="AG251" i="48"/>
  <c r="AH251" i="48"/>
  <c r="AI251" i="48"/>
  <c r="AJ251" i="48"/>
  <c r="X254" i="48"/>
  <c r="AG254" i="48"/>
  <c r="AH254" i="48"/>
  <c r="AI254" i="48"/>
  <c r="AJ254" i="48"/>
  <c r="X258" i="48"/>
  <c r="AG258" i="48"/>
  <c r="AH258" i="48"/>
  <c r="AI258" i="48"/>
  <c r="AJ258" i="48"/>
  <c r="X260" i="48"/>
  <c r="AG260" i="48"/>
  <c r="AH260" i="48"/>
  <c r="AI260" i="48"/>
  <c r="AJ260" i="48"/>
  <c r="X263" i="48"/>
  <c r="AG263" i="48"/>
  <c r="AH263" i="48"/>
  <c r="AI263" i="48"/>
  <c r="AJ263" i="48"/>
  <c r="X266" i="48"/>
  <c r="AG266" i="48"/>
  <c r="AH266" i="48"/>
  <c r="AI266" i="48"/>
  <c r="AJ266" i="48"/>
  <c r="X269" i="48"/>
  <c r="AG269" i="48"/>
  <c r="AH269" i="48"/>
  <c r="AI269" i="48"/>
  <c r="AJ269" i="48"/>
  <c r="X276" i="48"/>
  <c r="AG276" i="48"/>
  <c r="AH276" i="48"/>
  <c r="AI276" i="48"/>
  <c r="AJ276" i="48"/>
  <c r="X280" i="48"/>
  <c r="AG280" i="48"/>
  <c r="AH280" i="48"/>
  <c r="AI280" i="48"/>
  <c r="AJ280" i="48"/>
  <c r="X286" i="48"/>
  <c r="AG286" i="48"/>
  <c r="AH286" i="48"/>
  <c r="AI286" i="48"/>
  <c r="AJ286" i="48"/>
  <c r="X291" i="48"/>
  <c r="AG291" i="48"/>
  <c r="AH291" i="48"/>
  <c r="AI291" i="48"/>
  <c r="AJ291" i="48"/>
  <c r="X296" i="48"/>
  <c r="AG296" i="48"/>
  <c r="AH296" i="48"/>
  <c r="AI296" i="48"/>
  <c r="AJ296" i="48"/>
  <c r="X299" i="48"/>
  <c r="AG299" i="48"/>
  <c r="AH299" i="48"/>
  <c r="AI299" i="48"/>
  <c r="AJ299" i="48"/>
  <c r="X304" i="48"/>
  <c r="AG304" i="48"/>
  <c r="AH304" i="48"/>
  <c r="AI304" i="48"/>
  <c r="AJ304" i="48"/>
  <c r="X309" i="48"/>
  <c r="AG309" i="48"/>
  <c r="AH309" i="48"/>
  <c r="AI309" i="48"/>
  <c r="AJ309" i="48"/>
  <c r="X312" i="48"/>
  <c r="AG312" i="48"/>
  <c r="AH312" i="48"/>
  <c r="AI312" i="48"/>
  <c r="AJ312" i="48"/>
  <c r="X318" i="48"/>
  <c r="AG318" i="48"/>
  <c r="AH318" i="48"/>
  <c r="AI318" i="48"/>
  <c r="AJ318" i="48"/>
  <c r="X323" i="48"/>
  <c r="AG323" i="48"/>
  <c r="AH323" i="48"/>
  <c r="AI323" i="48"/>
  <c r="AJ323" i="48"/>
  <c r="X328" i="48"/>
  <c r="AG328" i="48"/>
  <c r="AH328" i="48"/>
  <c r="AI328" i="48"/>
  <c r="AJ328" i="48"/>
  <c r="X334" i="48"/>
  <c r="AG334" i="48"/>
  <c r="AH334" i="48"/>
  <c r="AI334" i="48"/>
  <c r="AJ334" i="48"/>
  <c r="X339" i="48"/>
  <c r="AG339" i="48"/>
  <c r="AH339" i="48"/>
  <c r="AI339" i="48"/>
  <c r="AJ339" i="48"/>
  <c r="X344" i="48"/>
  <c r="AG344" i="48"/>
  <c r="AH344" i="48"/>
  <c r="AI344" i="48"/>
  <c r="AJ344" i="48"/>
  <c r="X349" i="48"/>
  <c r="AG349" i="48"/>
  <c r="AH349" i="48"/>
  <c r="AI349" i="48"/>
  <c r="AJ349" i="48"/>
  <c r="X355" i="48"/>
  <c r="AG355" i="48"/>
  <c r="AH355" i="48"/>
  <c r="AI355" i="48"/>
  <c r="AJ355" i="48"/>
  <c r="X360" i="48"/>
  <c r="AG360" i="48"/>
  <c r="AH360" i="48"/>
  <c r="AI360" i="48"/>
  <c r="AJ360" i="48"/>
  <c r="X362" i="48"/>
  <c r="AG362" i="48"/>
  <c r="AH362" i="48"/>
  <c r="AI362" i="48"/>
  <c r="AJ362" i="48"/>
  <c r="X365" i="48"/>
  <c r="AG365" i="48"/>
  <c r="AH365" i="48"/>
  <c r="AI365" i="48"/>
  <c r="AJ365" i="48"/>
  <c r="I370" i="48"/>
  <c r="J370" i="48"/>
  <c r="K370" i="48"/>
  <c r="L370" i="48"/>
  <c r="N370" i="48"/>
  <c r="P370" i="48"/>
  <c r="I27" i="47" s="1"/>
  <c r="Q370" i="48"/>
  <c r="R370" i="48"/>
  <c r="S370" i="48"/>
  <c r="T370" i="48"/>
  <c r="V370" i="48"/>
  <c r="W370" i="48"/>
  <c r="X370" i="48"/>
  <c r="AE370" i="48"/>
  <c r="AF370" i="48"/>
  <c r="AG370" i="48"/>
  <c r="AH370" i="48"/>
  <c r="AI370" i="48"/>
  <c r="AJ370" i="48"/>
  <c r="I371" i="48"/>
  <c r="J371" i="48"/>
  <c r="K371" i="48"/>
  <c r="L371" i="48"/>
  <c r="N371" i="48"/>
  <c r="P371" i="48"/>
  <c r="I28" i="47" s="1"/>
  <c r="Q371" i="48"/>
  <c r="R371" i="48"/>
  <c r="S371" i="48"/>
  <c r="T371" i="48"/>
  <c r="V371" i="48"/>
  <c r="W371" i="48"/>
  <c r="X371" i="48"/>
  <c r="AE371" i="48"/>
  <c r="AG371" i="48"/>
  <c r="AH371" i="48"/>
  <c r="AI371" i="48"/>
  <c r="AJ371" i="48"/>
  <c r="I372" i="48"/>
  <c r="J372" i="48"/>
  <c r="K372" i="48"/>
  <c r="L372" i="48"/>
  <c r="N372" i="48"/>
  <c r="P372" i="48"/>
  <c r="I29" i="47" s="1"/>
  <c r="Q372" i="48"/>
  <c r="R372" i="48"/>
  <c r="S372" i="48"/>
  <c r="T372" i="48"/>
  <c r="V372" i="48"/>
  <c r="W372" i="48"/>
  <c r="X372" i="48"/>
  <c r="AE372" i="48"/>
  <c r="AF372" i="48"/>
  <c r="AG372" i="48"/>
  <c r="AH372" i="48"/>
  <c r="AI372" i="48"/>
  <c r="AJ372" i="48"/>
  <c r="I373" i="48"/>
  <c r="J373" i="48"/>
  <c r="K373" i="48"/>
  <c r="L373" i="48"/>
  <c r="N373" i="48"/>
  <c r="P373" i="48"/>
  <c r="I30" i="47" s="1"/>
  <c r="Q373" i="48"/>
  <c r="R373" i="48"/>
  <c r="S373" i="48"/>
  <c r="T373" i="48"/>
  <c r="V373" i="48"/>
  <c r="W373" i="48"/>
  <c r="X373" i="48"/>
  <c r="AE373" i="48"/>
  <c r="AF373" i="48"/>
  <c r="AG373" i="48"/>
  <c r="AH373" i="48"/>
  <c r="AI373" i="48"/>
  <c r="AJ373" i="48"/>
  <c r="I374" i="48"/>
  <c r="J374" i="48"/>
  <c r="K374" i="48"/>
  <c r="L374" i="48"/>
  <c r="N374" i="48"/>
  <c r="P374" i="48"/>
  <c r="I31" i="47" s="1"/>
  <c r="Q374" i="48"/>
  <c r="R374" i="48"/>
  <c r="S374" i="48"/>
  <c r="T374" i="48"/>
  <c r="U374" i="48"/>
  <c r="V374" i="48"/>
  <c r="W374" i="48"/>
  <c r="X374" i="48"/>
  <c r="Y374" i="48"/>
  <c r="Z374" i="48"/>
  <c r="S31" i="47" s="1"/>
  <c r="AA374" i="48"/>
  <c r="AB374" i="48"/>
  <c r="AD374" i="48"/>
  <c r="AE374" i="48"/>
  <c r="AF374" i="48"/>
  <c r="AG374" i="48"/>
  <c r="AH374" i="48"/>
  <c r="AI374" i="48"/>
  <c r="AJ374" i="48"/>
  <c r="AK374" i="48"/>
  <c r="AL374" i="48"/>
  <c r="AM374" i="48"/>
  <c r="AN374" i="48"/>
  <c r="AO374" i="48"/>
  <c r="AP374" i="48"/>
  <c r="AR374" i="48"/>
  <c r="I375" i="48"/>
  <c r="J375" i="48"/>
  <c r="K375" i="48"/>
  <c r="L375" i="48"/>
  <c r="N375" i="48"/>
  <c r="P375" i="48"/>
  <c r="I32" i="47" s="1"/>
  <c r="Q375" i="48"/>
  <c r="R375" i="48"/>
  <c r="S375" i="48"/>
  <c r="T375" i="48"/>
  <c r="U375" i="48"/>
  <c r="V375" i="48"/>
  <c r="W375" i="48"/>
  <c r="X375" i="48"/>
  <c r="Y375" i="48"/>
  <c r="Z375" i="48"/>
  <c r="S32" i="47" s="1"/>
  <c r="AA375" i="48"/>
  <c r="AB375" i="48"/>
  <c r="AD375" i="48"/>
  <c r="AE375" i="48"/>
  <c r="AF375" i="48"/>
  <c r="AG375" i="48"/>
  <c r="AH375" i="48"/>
  <c r="AI375" i="48"/>
  <c r="AJ375" i="48"/>
  <c r="AK375" i="48"/>
  <c r="AL375" i="48"/>
  <c r="AM375" i="48"/>
  <c r="AN375" i="48"/>
  <c r="AO375" i="48"/>
  <c r="AP375" i="48"/>
  <c r="AR375" i="48"/>
  <c r="I376" i="48"/>
  <c r="J376" i="48"/>
  <c r="K376" i="48"/>
  <c r="L376" i="48"/>
  <c r="N376" i="48"/>
  <c r="P376" i="48"/>
  <c r="I33" i="47" s="1"/>
  <c r="Q376" i="48"/>
  <c r="R376" i="48"/>
  <c r="S376" i="48"/>
  <c r="T376" i="48"/>
  <c r="V376" i="48"/>
  <c r="W376" i="48"/>
  <c r="X376" i="48"/>
  <c r="AE376" i="48"/>
  <c r="AF376" i="48"/>
  <c r="AG376" i="48"/>
  <c r="AH376" i="48"/>
  <c r="AI376" i="48"/>
  <c r="AJ376" i="48"/>
  <c r="I377" i="48"/>
  <c r="J377" i="48"/>
  <c r="K377" i="48"/>
  <c r="L377" i="48"/>
  <c r="N377" i="48"/>
  <c r="P377" i="48"/>
  <c r="I34" i="47" s="1"/>
  <c r="Q377" i="48"/>
  <c r="R377" i="48"/>
  <c r="S377" i="48"/>
  <c r="T377" i="48"/>
  <c r="V377" i="48"/>
  <c r="W377" i="48"/>
  <c r="X377" i="48"/>
  <c r="AE377" i="48"/>
  <c r="AF377" i="48"/>
  <c r="AG377" i="48"/>
  <c r="AH377" i="48"/>
  <c r="AI377" i="48"/>
  <c r="AJ377" i="48"/>
  <c r="I378" i="48"/>
  <c r="J378" i="48"/>
  <c r="K378" i="48"/>
  <c r="L378" i="48"/>
  <c r="N378" i="48"/>
  <c r="P378" i="48"/>
  <c r="I35" i="47" s="1"/>
  <c r="Q378" i="48"/>
  <c r="R378" i="48"/>
  <c r="S378" i="48"/>
  <c r="T378" i="48"/>
  <c r="V378" i="48"/>
  <c r="W378" i="48"/>
  <c r="X378" i="48"/>
  <c r="AE378" i="48"/>
  <c r="AF378" i="48"/>
  <c r="AG378" i="48"/>
  <c r="AH378" i="48"/>
  <c r="AI378" i="48"/>
  <c r="AJ378" i="48"/>
  <c r="I379" i="48"/>
  <c r="J379" i="48"/>
  <c r="K379" i="48"/>
  <c r="L379" i="48"/>
  <c r="N379" i="48"/>
  <c r="P379" i="48"/>
  <c r="I36" i="47" s="1"/>
  <c r="Q379" i="48"/>
  <c r="R379" i="48"/>
  <c r="S379" i="48"/>
  <c r="T379" i="48"/>
  <c r="V379" i="48"/>
  <c r="W379" i="48"/>
  <c r="X379" i="48"/>
  <c r="AE379" i="48"/>
  <c r="AF379" i="48"/>
  <c r="AG379" i="48"/>
  <c r="AH379" i="48"/>
  <c r="AI379" i="48"/>
  <c r="AJ379" i="48"/>
  <c r="B13" i="47" l="1"/>
  <c r="B23" i="47" s="1"/>
  <c r="U14" i="48"/>
  <c r="U15" i="48"/>
  <c r="U16" i="48"/>
  <c r="U18" i="48"/>
  <c r="U19" i="48"/>
  <c r="U21" i="48"/>
  <c r="U22" i="48"/>
  <c r="U23" i="48"/>
  <c r="U25" i="48"/>
  <c r="U26" i="48"/>
  <c r="U28" i="48"/>
  <c r="U29" i="48"/>
  <c r="U31" i="48"/>
  <c r="U32" i="48"/>
  <c r="U34" i="48"/>
  <c r="U35" i="48"/>
  <c r="U37" i="48"/>
  <c r="U38" i="48"/>
  <c r="U40" i="48"/>
  <c r="U41" i="48" s="1"/>
  <c r="U42" i="48"/>
  <c r="U43" i="48" s="1"/>
  <c r="U44" i="48"/>
  <c r="U45" i="48" s="1"/>
  <c r="U46" i="48"/>
  <c r="U47" i="48"/>
  <c r="U49" i="48"/>
  <c r="U50" i="48"/>
  <c r="U52" i="48"/>
  <c r="U53" i="48"/>
  <c r="U55" i="48"/>
  <c r="U56" i="48" s="1"/>
  <c r="U57" i="48"/>
  <c r="U58" i="48"/>
  <c r="U59" i="48"/>
  <c r="U61" i="48"/>
  <c r="U62" i="48"/>
  <c r="U64" i="48"/>
  <c r="U65" i="48"/>
  <c r="U67" i="48"/>
  <c r="U68" i="48"/>
  <c r="U70" i="48"/>
  <c r="U71" i="48"/>
  <c r="U73" i="48"/>
  <c r="U74" i="48"/>
  <c r="U76" i="48"/>
  <c r="U77" i="48"/>
  <c r="U79" i="48"/>
  <c r="U80" i="48"/>
  <c r="AB80" i="48" s="1"/>
  <c r="AP80" i="48" s="1"/>
  <c r="U82" i="48"/>
  <c r="U83" i="48" s="1"/>
  <c r="U84" i="48"/>
  <c r="U85" i="48"/>
  <c r="U87" i="48"/>
  <c r="U88" i="48"/>
  <c r="U90" i="48"/>
  <c r="U91" i="48" s="1"/>
  <c r="U92" i="48"/>
  <c r="U93" i="48"/>
  <c r="U95" i="48"/>
  <c r="U96" i="48"/>
  <c r="U97" i="48"/>
  <c r="U99" i="48"/>
  <c r="U100" i="48"/>
  <c r="U102" i="48"/>
  <c r="U103" i="48"/>
  <c r="U105" i="48"/>
  <c r="U107" i="48"/>
  <c r="U108" i="48"/>
  <c r="U109" i="48"/>
  <c r="U111" i="48"/>
  <c r="U113" i="48"/>
  <c r="AB113" i="48" s="1"/>
  <c r="AP113" i="48" s="1"/>
  <c r="U114" i="48"/>
  <c r="U116" i="48"/>
  <c r="U118" i="48"/>
  <c r="U119" i="48"/>
  <c r="U121" i="48"/>
  <c r="U123" i="48"/>
  <c r="U124" i="48"/>
  <c r="U126" i="48"/>
  <c r="U128" i="48"/>
  <c r="U129" i="48"/>
  <c r="U131" i="48"/>
  <c r="U133" i="48"/>
  <c r="U134" i="48"/>
  <c r="U136" i="48"/>
  <c r="U138" i="48"/>
  <c r="U139" i="48"/>
  <c r="U140" i="48"/>
  <c r="AB140" i="48" s="1"/>
  <c r="AP140" i="48" s="1"/>
  <c r="U142" i="48"/>
  <c r="U144" i="48"/>
  <c r="U145" i="48"/>
  <c r="U147" i="48"/>
  <c r="U148" i="48"/>
  <c r="U150" i="48"/>
  <c r="U151" i="48"/>
  <c r="U153" i="48"/>
  <c r="U155" i="48"/>
  <c r="U156" i="48"/>
  <c r="U157" i="48"/>
  <c r="U159" i="48"/>
  <c r="U161" i="48"/>
  <c r="AB161" i="48" s="1"/>
  <c r="AP161" i="48" s="1"/>
  <c r="U162" i="48"/>
  <c r="U164" i="48"/>
  <c r="U165" i="48"/>
  <c r="U166" i="48"/>
  <c r="U168" i="48"/>
  <c r="U169" i="48"/>
  <c r="U170" i="48"/>
  <c r="U171" i="48"/>
  <c r="U173" i="48"/>
  <c r="U175" i="48"/>
  <c r="U176" i="48"/>
  <c r="U178" i="48"/>
  <c r="U180" i="48"/>
  <c r="U181" i="48"/>
  <c r="U183" i="48"/>
  <c r="U185" i="48"/>
  <c r="U186" i="48"/>
  <c r="U188" i="48"/>
  <c r="U190" i="48"/>
  <c r="U191" i="48"/>
  <c r="U193" i="48"/>
  <c r="U195" i="48"/>
  <c r="U196" i="48"/>
  <c r="U198" i="48"/>
  <c r="U200" i="48"/>
  <c r="U201" i="48"/>
  <c r="U203" i="48"/>
  <c r="U204" i="48"/>
  <c r="U205" i="48"/>
  <c r="U206" i="48"/>
  <c r="U210" i="48"/>
  <c r="U211" i="48"/>
  <c r="U213" i="48"/>
  <c r="U214" i="48"/>
  <c r="U216" i="48"/>
  <c r="U218" i="48"/>
  <c r="U219" i="48"/>
  <c r="U221" i="48"/>
  <c r="U222" i="48"/>
  <c r="U224" i="48"/>
  <c r="U225" i="48"/>
  <c r="U226" i="48"/>
  <c r="U227" i="48"/>
  <c r="U229" i="48"/>
  <c r="U230" i="48"/>
  <c r="U231" i="48"/>
  <c r="U233" i="48"/>
  <c r="U234" i="48"/>
  <c r="U236" i="48"/>
  <c r="U237" i="48"/>
  <c r="U238" i="48"/>
  <c r="U242" i="48"/>
  <c r="U243" i="48"/>
  <c r="U244" i="48"/>
  <c r="U245" i="48"/>
  <c r="U247" i="48"/>
  <c r="U248" i="48"/>
  <c r="U249" i="48"/>
  <c r="U250" i="48"/>
  <c r="U252" i="48"/>
  <c r="U253" i="48"/>
  <c r="U255" i="48"/>
  <c r="U256" i="48"/>
  <c r="U257" i="48"/>
  <c r="U261" i="48"/>
  <c r="U262" i="48"/>
  <c r="U264" i="48"/>
  <c r="U265" i="48"/>
  <c r="U267" i="48"/>
  <c r="U268" i="48"/>
  <c r="U270" i="48"/>
  <c r="U271" i="48"/>
  <c r="U272" i="48"/>
  <c r="U273" i="48"/>
  <c r="U274" i="48"/>
  <c r="U275" i="48"/>
  <c r="U277" i="48"/>
  <c r="U278" i="48"/>
  <c r="U279" i="48"/>
  <c r="U281" i="48"/>
  <c r="U283" i="48"/>
  <c r="U284" i="48"/>
  <c r="U285" i="48"/>
  <c r="U287" i="48"/>
  <c r="U289" i="48"/>
  <c r="U290" i="48"/>
  <c r="U292" i="48"/>
  <c r="U293" i="48"/>
  <c r="U294" i="48"/>
  <c r="U295" i="48"/>
  <c r="U297" i="48"/>
  <c r="U298" i="48"/>
  <c r="U300" i="48"/>
  <c r="U301" i="48"/>
  <c r="U302" i="48"/>
  <c r="U303" i="48"/>
  <c r="U305" i="48"/>
  <c r="U307" i="48"/>
  <c r="U308" i="48"/>
  <c r="U310" i="48"/>
  <c r="U311" i="48"/>
  <c r="U313" i="48"/>
  <c r="U315" i="48"/>
  <c r="U316" i="48"/>
  <c r="U317" i="48"/>
  <c r="U319" i="48"/>
  <c r="U320" i="48"/>
  <c r="U321" i="48"/>
  <c r="U322" i="48"/>
  <c r="U324" i="48"/>
  <c r="U325" i="48"/>
  <c r="U326" i="48"/>
  <c r="U327" i="48"/>
  <c r="U329" i="48"/>
  <c r="U332" i="48"/>
  <c r="U333" i="48"/>
  <c r="U335" i="48"/>
  <c r="U336" i="48"/>
  <c r="U337" i="48"/>
  <c r="U338" i="48"/>
  <c r="U340" i="48"/>
  <c r="U341" i="48"/>
  <c r="U342" i="48"/>
  <c r="U343" i="48"/>
  <c r="U345" i="48"/>
  <c r="U346" i="48"/>
  <c r="U347" i="48"/>
  <c r="U348" i="48"/>
  <c r="U350" i="48"/>
  <c r="U351" i="48"/>
  <c r="U353" i="48"/>
  <c r="U354" i="48"/>
  <c r="U356" i="48"/>
  <c r="U357" i="48"/>
  <c r="U358" i="48"/>
  <c r="U359" i="48"/>
  <c r="U361" i="48"/>
  <c r="U362" i="48" s="1"/>
  <c r="U363" i="48"/>
  <c r="U364" i="48"/>
  <c r="X366" i="48"/>
  <c r="Q13" i="47" s="1"/>
  <c r="AJ366" i="48"/>
  <c r="AC13" i="47" s="1"/>
  <c r="W366" i="48"/>
  <c r="P13" i="47" s="1"/>
  <c r="AI366" i="48"/>
  <c r="AB13" i="47" s="1"/>
  <c r="AH366" i="48"/>
  <c r="AA13" i="47" s="1"/>
  <c r="T366" i="48"/>
  <c r="M13" i="47" s="1"/>
  <c r="S366" i="48"/>
  <c r="L13" i="47" s="1"/>
  <c r="AE366" i="48"/>
  <c r="Q366" i="48"/>
  <c r="J13" i="47" s="1"/>
  <c r="AG366" i="48"/>
  <c r="Z13" i="47" s="1"/>
  <c r="V366" i="48"/>
  <c r="P366" i="48"/>
  <c r="I13" i="47" s="1"/>
  <c r="R366" i="48"/>
  <c r="K13" i="47" s="1"/>
  <c r="AF366" i="48"/>
  <c r="Y13" i="47" s="1"/>
  <c r="AK155" i="48"/>
  <c r="AA330" i="48"/>
  <c r="AO330" i="48" s="1"/>
  <c r="Z330" i="48"/>
  <c r="U240" i="48"/>
  <c r="U241" i="48" s="1"/>
  <c r="U208" i="48"/>
  <c r="U209" i="48" s="1"/>
  <c r="U259" i="48"/>
  <c r="U260" i="48" s="1"/>
  <c r="O379" i="48"/>
  <c r="AN177" i="48"/>
  <c r="AR92" i="48"/>
  <c r="U12" i="48"/>
  <c r="U13" i="48" s="1"/>
  <c r="AN328" i="48"/>
  <c r="AF371" i="48"/>
  <c r="O371" i="48"/>
  <c r="Y13" i="48"/>
  <c r="AN158" i="48"/>
  <c r="Y86" i="48"/>
  <c r="AR71" i="48"/>
  <c r="AR150" i="48"/>
  <c r="O377" i="48"/>
  <c r="AR295" i="48"/>
  <c r="O372" i="48"/>
  <c r="O373" i="48"/>
  <c r="AN167" i="48"/>
  <c r="AR343" i="48"/>
  <c r="O378" i="48"/>
  <c r="O370" i="48"/>
  <c r="AN182" i="48"/>
  <c r="AR148" i="48"/>
  <c r="AR136" i="48"/>
  <c r="AR31" i="48"/>
  <c r="AR113" i="48"/>
  <c r="AN27" i="48"/>
  <c r="O376" i="48"/>
  <c r="AR303" i="48"/>
  <c r="AR257" i="48"/>
  <c r="AN254" i="48"/>
  <c r="AR206" i="48"/>
  <c r="AR201" i="48"/>
  <c r="AN39" i="48"/>
  <c r="AR21" i="48"/>
  <c r="AR198" i="48"/>
  <c r="AR170" i="48"/>
  <c r="AR147" i="48"/>
  <c r="AR116" i="48"/>
  <c r="AR100" i="48"/>
  <c r="AR203" i="48"/>
  <c r="AR176" i="48"/>
  <c r="AR310" i="48"/>
  <c r="AN163" i="48"/>
  <c r="AN260" i="48"/>
  <c r="AR255" i="48"/>
  <c r="AR162" i="48"/>
  <c r="AR293" i="48"/>
  <c r="AR213" i="48"/>
  <c r="AR50" i="48"/>
  <c r="AR332" i="48"/>
  <c r="AR311" i="48"/>
  <c r="AN269" i="48"/>
  <c r="AR80" i="48"/>
  <c r="AR330" i="48"/>
  <c r="AN299" i="48"/>
  <c r="AR224" i="48"/>
  <c r="AR358" i="48"/>
  <c r="AR289" i="48"/>
  <c r="AR350" i="48"/>
  <c r="AR340" i="48"/>
  <c r="AR315" i="48"/>
  <c r="AR214" i="48"/>
  <c r="AR109" i="48"/>
  <c r="AR107" i="48"/>
  <c r="AN56" i="48"/>
  <c r="AR322" i="48"/>
  <c r="AR259" i="48"/>
  <c r="AR260" i="48" s="1"/>
  <c r="AR233" i="48"/>
  <c r="AN212" i="48"/>
  <c r="AR88" i="48"/>
  <c r="AR297" i="48"/>
  <c r="AR267" i="48"/>
  <c r="AR87" i="48"/>
  <c r="AR82" i="48"/>
  <c r="AR118" i="48"/>
  <c r="AR359" i="48"/>
  <c r="AR357" i="48"/>
  <c r="AR333" i="48"/>
  <c r="AR326" i="48"/>
  <c r="AN304" i="48"/>
  <c r="AR59" i="48"/>
  <c r="AR274" i="48"/>
  <c r="AR272" i="48"/>
  <c r="AR204" i="48"/>
  <c r="AR348" i="48"/>
  <c r="AR320" i="48"/>
  <c r="AR283" i="48"/>
  <c r="AN125" i="48"/>
  <c r="AR111" i="48"/>
  <c r="AR46" i="48"/>
  <c r="AR19" i="48"/>
  <c r="AR74" i="48"/>
  <c r="AR32" i="48"/>
  <c r="AR133" i="48"/>
  <c r="AR126" i="48"/>
  <c r="AN83" i="48"/>
  <c r="AR73" i="48"/>
  <c r="AN30" i="48"/>
  <c r="X369" i="48"/>
  <c r="L369" i="48"/>
  <c r="AN365" i="48"/>
  <c r="AR356" i="48"/>
  <c r="AN355" i="48"/>
  <c r="AR324" i="48"/>
  <c r="AR313" i="48"/>
  <c r="AR275" i="48"/>
  <c r="T369" i="48"/>
  <c r="S369" i="48"/>
  <c r="R369" i="48"/>
  <c r="K369" i="48"/>
  <c r="AM330" i="48"/>
  <c r="AR321" i="48"/>
  <c r="AR245" i="48"/>
  <c r="AE369" i="48"/>
  <c r="P369" i="48"/>
  <c r="I369" i="48"/>
  <c r="AR335" i="48"/>
  <c r="W369" i="48"/>
  <c r="J369" i="48"/>
  <c r="AI369" i="48"/>
  <c r="V369" i="48"/>
  <c r="AN344" i="48"/>
  <c r="AR271" i="48"/>
  <c r="AR238" i="48"/>
  <c r="Q369" i="48"/>
  <c r="AR342" i="48"/>
  <c r="AR290" i="48"/>
  <c r="AR270" i="48"/>
  <c r="N369" i="48"/>
  <c r="AR347" i="48"/>
  <c r="AR294" i="48"/>
  <c r="AR287" i="48"/>
  <c r="AR285" i="48"/>
  <c r="AR284" i="48"/>
  <c r="AR273" i="48"/>
  <c r="AR329" i="48"/>
  <c r="AR316" i="48"/>
  <c r="AR302" i="48"/>
  <c r="AR301" i="48"/>
  <c r="AR279" i="48"/>
  <c r="AN241" i="48"/>
  <c r="AR268" i="48"/>
  <c r="AR256" i="48"/>
  <c r="AR134" i="48"/>
  <c r="AR346" i="48"/>
  <c r="AR317" i="48"/>
  <c r="AR298" i="48"/>
  <c r="AR237" i="48"/>
  <c r="AR186" i="48"/>
  <c r="AR243" i="48"/>
  <c r="AR234" i="48"/>
  <c r="AR169" i="48"/>
  <c r="AR151" i="48"/>
  <c r="AR236" i="48"/>
  <c r="AR211" i="48"/>
  <c r="AR140" i="48"/>
  <c r="AR97" i="48"/>
  <c r="AR231" i="48"/>
  <c r="AR44" i="48"/>
  <c r="AR265" i="48"/>
  <c r="AR244" i="48"/>
  <c r="AR62" i="48"/>
  <c r="AN220" i="48"/>
  <c r="AN197" i="48"/>
  <c r="AR102" i="48"/>
  <c r="AR200" i="48"/>
  <c r="AR188" i="48"/>
  <c r="AR185" i="48"/>
  <c r="AR171" i="48"/>
  <c r="AR119" i="48"/>
  <c r="AR108" i="48"/>
  <c r="AR105" i="48"/>
  <c r="AR67" i="48"/>
  <c r="AN120" i="48"/>
  <c r="AR183" i="48"/>
  <c r="AR159" i="48"/>
  <c r="AR35" i="48"/>
  <c r="AR34" i="48"/>
  <c r="AR168" i="48"/>
  <c r="AN130" i="48"/>
  <c r="AR53" i="48"/>
  <c r="AR139" i="48"/>
  <c r="AR131" i="48"/>
  <c r="AR103" i="48"/>
  <c r="AR52" i="48"/>
  <c r="AR129" i="48"/>
  <c r="AR99" i="48"/>
  <c r="AR128" i="48"/>
  <c r="AR96" i="48"/>
  <c r="AR18" i="48"/>
  <c r="AR114" i="48"/>
  <c r="AN75" i="48"/>
  <c r="AN45" i="48"/>
  <c r="AR22" i="48"/>
  <c r="AR14" i="48"/>
  <c r="AN60" i="48"/>
  <c r="AR38" i="48"/>
  <c r="AR37" i="48"/>
  <c r="AR23" i="48"/>
  <c r="AR364" i="48"/>
  <c r="AH369" i="48"/>
  <c r="AG369" i="48"/>
  <c r="AJ369" i="48"/>
  <c r="AR354" i="48"/>
  <c r="AR353" i="48"/>
  <c r="AR308" i="48"/>
  <c r="AR307" i="48"/>
  <c r="AR351" i="48"/>
  <c r="AR338" i="48"/>
  <c r="AR337" i="48"/>
  <c r="AR336" i="48"/>
  <c r="AR325" i="48"/>
  <c r="AB330" i="48"/>
  <c r="AP330" i="48" s="1"/>
  <c r="AR327" i="48"/>
  <c r="AN309" i="48"/>
  <c r="AR262" i="48"/>
  <c r="AR278" i="48"/>
  <c r="AR253" i="48"/>
  <c r="AR250" i="48"/>
  <c r="AR218" i="48"/>
  <c r="AR230" i="48"/>
  <c r="AR227" i="48"/>
  <c r="AR222" i="48"/>
  <c r="AR249" i="48"/>
  <c r="AR248" i="48"/>
  <c r="AR195" i="48"/>
  <c r="AR181" i="48"/>
  <c r="AR226" i="48"/>
  <c r="AR219" i="48"/>
  <c r="AR180" i="48"/>
  <c r="AR196" i="48"/>
  <c r="AR144" i="48"/>
  <c r="AR191" i="48"/>
  <c r="AR190" i="48"/>
  <c r="AR165" i="48"/>
  <c r="AR175" i="48"/>
  <c r="AR166" i="48"/>
  <c r="AR157" i="48"/>
  <c r="AR145" i="48"/>
  <c r="AN91" i="48"/>
  <c r="AR156" i="48"/>
  <c r="AR123" i="48"/>
  <c r="AR161" i="48"/>
  <c r="AN78" i="48"/>
  <c r="AR85" i="48"/>
  <c r="AR95" i="48"/>
  <c r="AR77" i="48"/>
  <c r="AR57" i="48"/>
  <c r="AR65" i="48"/>
  <c r="AR58" i="48"/>
  <c r="AR47" i="48"/>
  <c r="AR29" i="48"/>
  <c r="AR26" i="48"/>
  <c r="AR16" i="48"/>
  <c r="U365" i="48" l="1"/>
  <c r="U254" i="48"/>
  <c r="AD330" i="48"/>
  <c r="U280" i="48"/>
  <c r="U263" i="48"/>
  <c r="U220" i="48"/>
  <c r="U163" i="48"/>
  <c r="U39" i="48"/>
  <c r="U115" i="48"/>
  <c r="U81" i="48"/>
  <c r="U72" i="48"/>
  <c r="U63" i="48"/>
  <c r="U78" i="48"/>
  <c r="U69" i="48"/>
  <c r="U269" i="48"/>
  <c r="U215" i="48"/>
  <c r="U328" i="48"/>
  <c r="U286" i="48"/>
  <c r="U258" i="48"/>
  <c r="U251" i="48"/>
  <c r="U232" i="48"/>
  <c r="U223" i="48"/>
  <c r="U167" i="48"/>
  <c r="U141" i="48"/>
  <c r="U130" i="48"/>
  <c r="U120" i="48"/>
  <c r="U54" i="48"/>
  <c r="U51" i="48"/>
  <c r="U86" i="48"/>
  <c r="U60" i="48"/>
  <c r="U30" i="48"/>
  <c r="U360" i="48"/>
  <c r="U344" i="48"/>
  <c r="U309" i="48"/>
  <c r="U299" i="48"/>
  <c r="U266" i="48"/>
  <c r="U212" i="48"/>
  <c r="U158" i="48"/>
  <c r="U110" i="48"/>
  <c r="U89" i="48"/>
  <c r="U33" i="48"/>
  <c r="U17" i="48"/>
  <c r="U334" i="48"/>
  <c r="U318" i="48"/>
  <c r="U291" i="48"/>
  <c r="U202" i="48"/>
  <c r="U192" i="48"/>
  <c r="U182" i="48"/>
  <c r="U146" i="48"/>
  <c r="U98" i="48"/>
  <c r="U24" i="48"/>
  <c r="U349" i="48"/>
  <c r="U276" i="48"/>
  <c r="U239" i="48"/>
  <c r="U172" i="48"/>
  <c r="U135" i="48"/>
  <c r="U125" i="48"/>
  <c r="U323" i="48"/>
  <c r="U312" i="48"/>
  <c r="U246" i="48"/>
  <c r="U228" i="48"/>
  <c r="U94" i="48"/>
  <c r="U75" i="48"/>
  <c r="U66" i="48"/>
  <c r="U48" i="48"/>
  <c r="U20" i="48"/>
  <c r="U355" i="48"/>
  <c r="U339" i="48"/>
  <c r="AM300" i="48"/>
  <c r="U304" i="48"/>
  <c r="U296" i="48"/>
  <c r="U207" i="48"/>
  <c r="U197" i="48"/>
  <c r="U187" i="48"/>
  <c r="U177" i="48"/>
  <c r="U152" i="48"/>
  <c r="U104" i="48"/>
  <c r="U36" i="48"/>
  <c r="U27" i="48"/>
  <c r="O13" i="47"/>
  <c r="O367" i="48"/>
  <c r="Y367" i="48"/>
  <c r="X13" i="47"/>
  <c r="AK367" i="48"/>
  <c r="O368" i="48"/>
  <c r="Y368" i="48"/>
  <c r="I368" i="48"/>
  <c r="AA166" i="48"/>
  <c r="Z166" i="48"/>
  <c r="AA170" i="48"/>
  <c r="AO170" i="48" s="1"/>
  <c r="Z170" i="48"/>
  <c r="AA173" i="48"/>
  <c r="Z173" i="48"/>
  <c r="AA181" i="48"/>
  <c r="Z181" i="48"/>
  <c r="Z196" i="48"/>
  <c r="AA196" i="48"/>
  <c r="AO196" i="48" s="1"/>
  <c r="Z204" i="48"/>
  <c r="AA204" i="48"/>
  <c r="AO204" i="48" s="1"/>
  <c r="AA273" i="48"/>
  <c r="AO273" i="48" s="1"/>
  <c r="Z273" i="48"/>
  <c r="Z279" i="48"/>
  <c r="AA279" i="48"/>
  <c r="AO279" i="48" s="1"/>
  <c r="AA285" i="48"/>
  <c r="AO285" i="48" s="1"/>
  <c r="Z285" i="48"/>
  <c r="AA301" i="48"/>
  <c r="AO301" i="48" s="1"/>
  <c r="Z301" i="48"/>
  <c r="AA164" i="48"/>
  <c r="Z164" i="48"/>
  <c r="Z15" i="48"/>
  <c r="AA15" i="48"/>
  <c r="AO15" i="48" s="1"/>
  <c r="AM16" i="48"/>
  <c r="AA16" i="48"/>
  <c r="AO16" i="48" s="1"/>
  <c r="Z16" i="48"/>
  <c r="AA26" i="48"/>
  <c r="AO26" i="48" s="1"/>
  <c r="Z26" i="48"/>
  <c r="Z28" i="48"/>
  <c r="AA28" i="48"/>
  <c r="Z44" i="48"/>
  <c r="AA44" i="48"/>
  <c r="AA52" i="48"/>
  <c r="AO52" i="48" s="1"/>
  <c r="Z52" i="48"/>
  <c r="Z59" i="48"/>
  <c r="AA59" i="48"/>
  <c r="AO59" i="48" s="1"/>
  <c r="AA67" i="48"/>
  <c r="Z67" i="48"/>
  <c r="Z165" i="48"/>
  <c r="AA165" i="48"/>
  <c r="Z171" i="48"/>
  <c r="AA171" i="48"/>
  <c r="AO171" i="48" s="1"/>
  <c r="AA178" i="48"/>
  <c r="Z178" i="48"/>
  <c r="AA180" i="48"/>
  <c r="AO180" i="48" s="1"/>
  <c r="Z180" i="48"/>
  <c r="AA186" i="48"/>
  <c r="Z186" i="48"/>
  <c r="Z188" i="48"/>
  <c r="AA188" i="48"/>
  <c r="AA195" i="48"/>
  <c r="AO195" i="48" s="1"/>
  <c r="Z195" i="48"/>
  <c r="Z203" i="48"/>
  <c r="AA203" i="48"/>
  <c r="AA211" i="48"/>
  <c r="AO211" i="48" s="1"/>
  <c r="Z211" i="48"/>
  <c r="AA218" i="48"/>
  <c r="AO218" i="48" s="1"/>
  <c r="Z218" i="48"/>
  <c r="AA219" i="48"/>
  <c r="AO219" i="48" s="1"/>
  <c r="Z219" i="48"/>
  <c r="AA225" i="48"/>
  <c r="Z225" i="48"/>
  <c r="AA234" i="48"/>
  <c r="AO234" i="48" s="1"/>
  <c r="Z234" i="48"/>
  <c r="AA243" i="48"/>
  <c r="AO243" i="48" s="1"/>
  <c r="Z243" i="48"/>
  <c r="Z248" i="48"/>
  <c r="AA248" i="48"/>
  <c r="Z255" i="48"/>
  <c r="AA255" i="48"/>
  <c r="AA265" i="48"/>
  <c r="Z265" i="48"/>
  <c r="AB272" i="48"/>
  <c r="AP272" i="48" s="1"/>
  <c r="AA272" i="48"/>
  <c r="AO272" i="48" s="1"/>
  <c r="Z272" i="48"/>
  <c r="Z287" i="48"/>
  <c r="AA287" i="48"/>
  <c r="AA308" i="48"/>
  <c r="AO308" i="48" s="1"/>
  <c r="Z308" i="48"/>
  <c r="Z316" i="48"/>
  <c r="AA316" i="48"/>
  <c r="Z322" i="48"/>
  <c r="AA322" i="48"/>
  <c r="AO322" i="48" s="1"/>
  <c r="Z329" i="48"/>
  <c r="AA329" i="48"/>
  <c r="Z337" i="48"/>
  <c r="AA337" i="48"/>
  <c r="AO337" i="48" s="1"/>
  <c r="Z338" i="48"/>
  <c r="AA338" i="48"/>
  <c r="AO338" i="48" s="1"/>
  <c r="Z343" i="48"/>
  <c r="AA343" i="48"/>
  <c r="AO343" i="48" s="1"/>
  <c r="AA350" i="48"/>
  <c r="Z350" i="48"/>
  <c r="AA358" i="48"/>
  <c r="AO358" i="48" s="1"/>
  <c r="Z358" i="48"/>
  <c r="Z14" i="48"/>
  <c r="AA14" i="48"/>
  <c r="Z18" i="48"/>
  <c r="AA18" i="48"/>
  <c r="AA19" i="48"/>
  <c r="AO19" i="48" s="1"/>
  <c r="Z19" i="48"/>
  <c r="AA21" i="48"/>
  <c r="Z21" i="48"/>
  <c r="AA22" i="48"/>
  <c r="AO22" i="48" s="1"/>
  <c r="Z22" i="48"/>
  <c r="Z25" i="48"/>
  <c r="AA25" i="48"/>
  <c r="Z29" i="48"/>
  <c r="AA29" i="48"/>
  <c r="AO29" i="48" s="1"/>
  <c r="AB31" i="48"/>
  <c r="AA31" i="48"/>
  <c r="AO31" i="48" s="1"/>
  <c r="Z31" i="48"/>
  <c r="Z32" i="48"/>
  <c r="AA32" i="48"/>
  <c r="AO32" i="48" s="1"/>
  <c r="AA34" i="48"/>
  <c r="Z34" i="48"/>
  <c r="Z35" i="48"/>
  <c r="AA35" i="48"/>
  <c r="AO35" i="48" s="1"/>
  <c r="AB35" i="48"/>
  <c r="AP35" i="48" s="1"/>
  <c r="AA37" i="48"/>
  <c r="Z37" i="48"/>
  <c r="AA38" i="48"/>
  <c r="AO38" i="48" s="1"/>
  <c r="Z38" i="48"/>
  <c r="Z40" i="48"/>
  <c r="AA40" i="48"/>
  <c r="AA42" i="48"/>
  <c r="AO42" i="48" s="1"/>
  <c r="Z42" i="48"/>
  <c r="AA46" i="48"/>
  <c r="Z46" i="48"/>
  <c r="Z47" i="48"/>
  <c r="AA47" i="48"/>
  <c r="AA50" i="48"/>
  <c r="AO50" i="48" s="1"/>
  <c r="Z50" i="48"/>
  <c r="AA53" i="48"/>
  <c r="Z53" i="48"/>
  <c r="AB53" i="48"/>
  <c r="AP53" i="48" s="1"/>
  <c r="Z55" i="48"/>
  <c r="AA55" i="48"/>
  <c r="AA58" i="48"/>
  <c r="AO58" i="48" s="1"/>
  <c r="Z58" i="48"/>
  <c r="Z61" i="48"/>
  <c r="AA61" i="48"/>
  <c r="Z62" i="48"/>
  <c r="AA62" i="48"/>
  <c r="Z68" i="48"/>
  <c r="AA68" i="48"/>
  <c r="Z70" i="48"/>
  <c r="AA70" i="48"/>
  <c r="Z71" i="48"/>
  <c r="AA71" i="48"/>
  <c r="AO71" i="48" s="1"/>
  <c r="Z74" i="48"/>
  <c r="AA74" i="48"/>
  <c r="AO74" i="48" s="1"/>
  <c r="Z76" i="48"/>
  <c r="AA76" i="48"/>
  <c r="Z77" i="48"/>
  <c r="AA77" i="48"/>
  <c r="AO77" i="48" s="1"/>
  <c r="AA79" i="48"/>
  <c r="Z79" i="48"/>
  <c r="AA82" i="48"/>
  <c r="Z82" i="48"/>
  <c r="AA84" i="48"/>
  <c r="Z84" i="48"/>
  <c r="AA85" i="48"/>
  <c r="Z85" i="48"/>
  <c r="AA87" i="48"/>
  <c r="AO87" i="48" s="1"/>
  <c r="Z87" i="48"/>
  <c r="Z90" i="48"/>
  <c r="AA90" i="48"/>
  <c r="Z92" i="48"/>
  <c r="AA92" i="48"/>
  <c r="AA93" i="48"/>
  <c r="Z93" i="48"/>
  <c r="Z95" i="48"/>
  <c r="AA95" i="48"/>
  <c r="Z99" i="48"/>
  <c r="AA99" i="48"/>
  <c r="Z100" i="48"/>
  <c r="AA100" i="48"/>
  <c r="Z102" i="48"/>
  <c r="AA102" i="48"/>
  <c r="AO102" i="48" s="1"/>
  <c r="Z107" i="48"/>
  <c r="AA107" i="48"/>
  <c r="AO107" i="48" s="1"/>
  <c r="AA108" i="48"/>
  <c r="AO108" i="48" s="1"/>
  <c r="Z108" i="48"/>
  <c r="AA109" i="48"/>
  <c r="Z109" i="48"/>
  <c r="Z114" i="48"/>
  <c r="AA114" i="48"/>
  <c r="AA116" i="48"/>
  <c r="Z116" i="48"/>
  <c r="AA118" i="48"/>
  <c r="AO118" i="48" s="1"/>
  <c r="Z118" i="48"/>
  <c r="AA123" i="48"/>
  <c r="AO123" i="48" s="1"/>
  <c r="Z123" i="48"/>
  <c r="AA124" i="48"/>
  <c r="AO124" i="48" s="1"/>
  <c r="Z124" i="48"/>
  <c r="AA126" i="48"/>
  <c r="Z126" i="48"/>
  <c r="Z131" i="48"/>
  <c r="AA131" i="48"/>
  <c r="AA133" i="48"/>
  <c r="AO133" i="48" s="1"/>
  <c r="Z133" i="48"/>
  <c r="AA134" i="48"/>
  <c r="AO134" i="48" s="1"/>
  <c r="Z134" i="48"/>
  <c r="AA140" i="48"/>
  <c r="AO140" i="48" s="1"/>
  <c r="Z140" i="48"/>
  <c r="Z142" i="48"/>
  <c r="AA142" i="48"/>
  <c r="AA144" i="48"/>
  <c r="AO144" i="48" s="1"/>
  <c r="Z144" i="48"/>
  <c r="Z148" i="48"/>
  <c r="AA148" i="48"/>
  <c r="AO148" i="48" s="1"/>
  <c r="AB150" i="48"/>
  <c r="AP150" i="48" s="1"/>
  <c r="Z150" i="48"/>
  <c r="AA150" i="48"/>
  <c r="AO150" i="48" s="1"/>
  <c r="AA151" i="48"/>
  <c r="AO151" i="48" s="1"/>
  <c r="AB151" i="48"/>
  <c r="AP151" i="48" s="1"/>
  <c r="Z151" i="48"/>
  <c r="Z156" i="48"/>
  <c r="AA156" i="48"/>
  <c r="Z157" i="48"/>
  <c r="AA157" i="48"/>
  <c r="AA159" i="48"/>
  <c r="Z159" i="48"/>
  <c r="Z210" i="48"/>
  <c r="AA210" i="48"/>
  <c r="Z226" i="48"/>
  <c r="AA226" i="48"/>
  <c r="AO226" i="48" s="1"/>
  <c r="Z233" i="48"/>
  <c r="AA233" i="48"/>
  <c r="Z242" i="48"/>
  <c r="AA242" i="48"/>
  <c r="AA249" i="48"/>
  <c r="Z249" i="48"/>
  <c r="AB256" i="48"/>
  <c r="AP256" i="48" s="1"/>
  <c r="AA256" i="48"/>
  <c r="AO256" i="48" s="1"/>
  <c r="Z256" i="48"/>
  <c r="AM264" i="48"/>
  <c r="Z264" i="48"/>
  <c r="AA264" i="48"/>
  <c r="AO264" i="48" s="1"/>
  <c r="AB271" i="48"/>
  <c r="AP271" i="48" s="1"/>
  <c r="Z271" i="48"/>
  <c r="AA271" i="48"/>
  <c r="AO271" i="48" s="1"/>
  <c r="AA278" i="48"/>
  <c r="AO278" i="48" s="1"/>
  <c r="Z278" i="48"/>
  <c r="AB294" i="48"/>
  <c r="AP294" i="48" s="1"/>
  <c r="AA294" i="48"/>
  <c r="AO294" i="48" s="1"/>
  <c r="Z294" i="48"/>
  <c r="Z300" i="48"/>
  <c r="AA300" i="48"/>
  <c r="AO300" i="48" s="1"/>
  <c r="Z307" i="48"/>
  <c r="AA307" i="48"/>
  <c r="Z23" i="48"/>
  <c r="AA23" i="48"/>
  <c r="AO23" i="48" s="1"/>
  <c r="Z49" i="48"/>
  <c r="AA49" i="48"/>
  <c r="Z57" i="48"/>
  <c r="AA57" i="48"/>
  <c r="AA64" i="48"/>
  <c r="Z64" i="48"/>
  <c r="Z65" i="48"/>
  <c r="AA65" i="48"/>
  <c r="AO65" i="48" s="1"/>
  <c r="AA73" i="48"/>
  <c r="Z73" i="48"/>
  <c r="AA80" i="48"/>
  <c r="AO80" i="48" s="1"/>
  <c r="Z80" i="48"/>
  <c r="AA88" i="48"/>
  <c r="AO88" i="48" s="1"/>
  <c r="Z88" i="48"/>
  <c r="AA96" i="48"/>
  <c r="AO96" i="48" s="1"/>
  <c r="Z96" i="48"/>
  <c r="Z97" i="48"/>
  <c r="AA97" i="48"/>
  <c r="AO97" i="48" s="1"/>
  <c r="AA103" i="48"/>
  <c r="Z103" i="48"/>
  <c r="Z105" i="48"/>
  <c r="AA105" i="48"/>
  <c r="AA111" i="48"/>
  <c r="Z111" i="48"/>
  <c r="AA113" i="48"/>
  <c r="AO113" i="48" s="1"/>
  <c r="Z113" i="48"/>
  <c r="AA119" i="48"/>
  <c r="Z119" i="48"/>
  <c r="Z121" i="48"/>
  <c r="AA121" i="48"/>
  <c r="AA128" i="48"/>
  <c r="AO128" i="48" s="1"/>
  <c r="Z128" i="48"/>
  <c r="AA129" i="48"/>
  <c r="AO129" i="48" s="1"/>
  <c r="Z129" i="48"/>
  <c r="AA136" i="48"/>
  <c r="Z136" i="48"/>
  <c r="AA138" i="48"/>
  <c r="AO138" i="48" s="1"/>
  <c r="Z138" i="48"/>
  <c r="Z139" i="48"/>
  <c r="AA139" i="48"/>
  <c r="AO139" i="48" s="1"/>
  <c r="Z145" i="48"/>
  <c r="AA145" i="48"/>
  <c r="AO145" i="48" s="1"/>
  <c r="AA147" i="48"/>
  <c r="Z147" i="48"/>
  <c r="Z153" i="48"/>
  <c r="AA153" i="48"/>
  <c r="AA155" i="48"/>
  <c r="Z155" i="48"/>
  <c r="AA161" i="48"/>
  <c r="AO161" i="48" s="1"/>
  <c r="Z161" i="48"/>
  <c r="AB162" i="48"/>
  <c r="AP162" i="48" s="1"/>
  <c r="AA162" i="48"/>
  <c r="AO162" i="48" s="1"/>
  <c r="Z162" i="48"/>
  <c r="AA168" i="48"/>
  <c r="Z168" i="48"/>
  <c r="AA169" i="48"/>
  <c r="AO169" i="48" s="1"/>
  <c r="Z169" i="48"/>
  <c r="AA175" i="48"/>
  <c r="AO175" i="48" s="1"/>
  <c r="Z175" i="48"/>
  <c r="AA176" i="48"/>
  <c r="AO176" i="48" s="1"/>
  <c r="Z176" i="48"/>
  <c r="Z183" i="48"/>
  <c r="AA183" i="48"/>
  <c r="AA185" i="48"/>
  <c r="AO185" i="48" s="1"/>
  <c r="Z185" i="48"/>
  <c r="AA190" i="48"/>
  <c r="AO190" i="48" s="1"/>
  <c r="Z190" i="48"/>
  <c r="Z191" i="48"/>
  <c r="AA191" i="48"/>
  <c r="AO191" i="48" s="1"/>
  <c r="Z193" i="48"/>
  <c r="AA193" i="48"/>
  <c r="AA198" i="48"/>
  <c r="Z198" i="48"/>
  <c r="AA200" i="48"/>
  <c r="Z200" i="48"/>
  <c r="Z201" i="48"/>
  <c r="AA201" i="48"/>
  <c r="AO201" i="48" s="1"/>
  <c r="AB201" i="48"/>
  <c r="AP201" i="48" s="1"/>
  <c r="AA205" i="48"/>
  <c r="AO205" i="48" s="1"/>
  <c r="Z205" i="48"/>
  <c r="AA206" i="48"/>
  <c r="AO206" i="48" s="1"/>
  <c r="Z206" i="48"/>
  <c r="AM213" i="48"/>
  <c r="AA213" i="48"/>
  <c r="AO213" i="48" s="1"/>
  <c r="Z213" i="48"/>
  <c r="AA214" i="48"/>
  <c r="Z214" i="48"/>
  <c r="AA216" i="48"/>
  <c r="Z216" i="48"/>
  <c r="AA221" i="48"/>
  <c r="Z221" i="48"/>
  <c r="Z222" i="48"/>
  <c r="AA222" i="48"/>
  <c r="AA224" i="48"/>
  <c r="Z224" i="48"/>
  <c r="AA227" i="48"/>
  <c r="AO227" i="48" s="1"/>
  <c r="Z227" i="48"/>
  <c r="AA229" i="48"/>
  <c r="Z229" i="48"/>
  <c r="Z230" i="48"/>
  <c r="AA230" i="48"/>
  <c r="AO230" i="48" s="1"/>
  <c r="Z231" i="48"/>
  <c r="AA231" i="48"/>
  <c r="AO231" i="48" s="1"/>
  <c r="AA236" i="48"/>
  <c r="AO236" i="48" s="1"/>
  <c r="Z236" i="48"/>
  <c r="Z237" i="48"/>
  <c r="AA237" i="48"/>
  <c r="AO237" i="48" s="1"/>
  <c r="Z238" i="48"/>
  <c r="AA238" i="48"/>
  <c r="AO238" i="48" s="1"/>
  <c r="AA244" i="48"/>
  <c r="AO244" i="48" s="1"/>
  <c r="Z244" i="48"/>
  <c r="Z245" i="48"/>
  <c r="AA245" i="48"/>
  <c r="AO245" i="48" s="1"/>
  <c r="Z247" i="48"/>
  <c r="AA247" i="48"/>
  <c r="Z250" i="48"/>
  <c r="AA250" i="48"/>
  <c r="AO250" i="48" s="1"/>
  <c r="Z252" i="48"/>
  <c r="AA252" i="48"/>
  <c r="AA253" i="48"/>
  <c r="AO253" i="48" s="1"/>
  <c r="Z253" i="48"/>
  <c r="AA257" i="48"/>
  <c r="AO257" i="48" s="1"/>
  <c r="Z257" i="48"/>
  <c r="AA261" i="48"/>
  <c r="Z261" i="48"/>
  <c r="Z262" i="48"/>
  <c r="AA262" i="48"/>
  <c r="AO262" i="48" s="1"/>
  <c r="Z267" i="48"/>
  <c r="AA267" i="48"/>
  <c r="AA268" i="48"/>
  <c r="AO268" i="48" s="1"/>
  <c r="Z268" i="48"/>
  <c r="Z270" i="48"/>
  <c r="AA270" i="48"/>
  <c r="AA274" i="48"/>
  <c r="AO274" i="48" s="1"/>
  <c r="Z274" i="48"/>
  <c r="Z275" i="48"/>
  <c r="AA275" i="48"/>
  <c r="AO275" i="48" s="1"/>
  <c r="AA277" i="48"/>
  <c r="Z277" i="48"/>
  <c r="Z281" i="48"/>
  <c r="AA281" i="48"/>
  <c r="AA283" i="48"/>
  <c r="Z283" i="48"/>
  <c r="AA284" i="48"/>
  <c r="AO284" i="48" s="1"/>
  <c r="Z284" i="48"/>
  <c r="Z289" i="48"/>
  <c r="AA289" i="48"/>
  <c r="AO289" i="48" s="1"/>
  <c r="Z290" i="48"/>
  <c r="AA290" i="48"/>
  <c r="AO290" i="48" s="1"/>
  <c r="AA292" i="48"/>
  <c r="Z292" i="48"/>
  <c r="AA293" i="48"/>
  <c r="AO293" i="48" s="1"/>
  <c r="Z293" i="48"/>
  <c r="AB293" i="48"/>
  <c r="AP293" i="48" s="1"/>
  <c r="Z295" i="48"/>
  <c r="AA295" i="48"/>
  <c r="AO295" i="48" s="1"/>
  <c r="Z297" i="48"/>
  <c r="AA297" i="48"/>
  <c r="Z298" i="48"/>
  <c r="AA298" i="48"/>
  <c r="AO298" i="48" s="1"/>
  <c r="AA302" i="48"/>
  <c r="AO302" i="48" s="1"/>
  <c r="Z302" i="48"/>
  <c r="AA303" i="48"/>
  <c r="AO303" i="48" s="1"/>
  <c r="Z303" i="48"/>
  <c r="Z305" i="48"/>
  <c r="AA305" i="48"/>
  <c r="Z310" i="48"/>
  <c r="AA310" i="48"/>
  <c r="Z311" i="48"/>
  <c r="AA311" i="48"/>
  <c r="Z313" i="48"/>
  <c r="AA313" i="48"/>
  <c r="AA315" i="48"/>
  <c r="AO315" i="48" s="1"/>
  <c r="Z315" i="48"/>
  <c r="Z317" i="48"/>
  <c r="AA317" i="48"/>
  <c r="Z319" i="48"/>
  <c r="AA319" i="48"/>
  <c r="AA320" i="48"/>
  <c r="Z320" i="48"/>
  <c r="Z321" i="48"/>
  <c r="AA321" i="48"/>
  <c r="AO321" i="48" s="1"/>
  <c r="Z324" i="48"/>
  <c r="AA324" i="48"/>
  <c r="AA325" i="48"/>
  <c r="AO325" i="48" s="1"/>
  <c r="Z325" i="48"/>
  <c r="Z326" i="48"/>
  <c r="AA326" i="48"/>
  <c r="AO326" i="48" s="1"/>
  <c r="Z327" i="48"/>
  <c r="AA327" i="48"/>
  <c r="AO327" i="48" s="1"/>
  <c r="Z332" i="48"/>
  <c r="AA332" i="48"/>
  <c r="AO332" i="48" s="1"/>
  <c r="AA333" i="48"/>
  <c r="AO333" i="48" s="1"/>
  <c r="Z333" i="48"/>
  <c r="Z335" i="48"/>
  <c r="AA335" i="48"/>
  <c r="Z336" i="48"/>
  <c r="AA336" i="48"/>
  <c r="AO336" i="48" s="1"/>
  <c r="AA340" i="48"/>
  <c r="AO340" i="48" s="1"/>
  <c r="Z340" i="48"/>
  <c r="AA341" i="48"/>
  <c r="AO341" i="48" s="1"/>
  <c r="Z341" i="48"/>
  <c r="Z342" i="48"/>
  <c r="AA342" i="48"/>
  <c r="AO342" i="48" s="1"/>
  <c r="Z345" i="48"/>
  <c r="AA345" i="48"/>
  <c r="Z346" i="48"/>
  <c r="AA346" i="48"/>
  <c r="AA347" i="48"/>
  <c r="AO347" i="48" s="1"/>
  <c r="Z347" i="48"/>
  <c r="Z348" i="48"/>
  <c r="AA348" i="48"/>
  <c r="AO348" i="48" s="1"/>
  <c r="AA351" i="48"/>
  <c r="Z351" i="48"/>
  <c r="Z353" i="48"/>
  <c r="AA353" i="48"/>
  <c r="AO353" i="48" s="1"/>
  <c r="AA354" i="48"/>
  <c r="AO354" i="48" s="1"/>
  <c r="Z354" i="48"/>
  <c r="AA356" i="48"/>
  <c r="Z356" i="48"/>
  <c r="Z357" i="48"/>
  <c r="AA357" i="48"/>
  <c r="AO357" i="48" s="1"/>
  <c r="Z359" i="48"/>
  <c r="AA359" i="48"/>
  <c r="AO359" i="48" s="1"/>
  <c r="AA361" i="48"/>
  <c r="Z361" i="48"/>
  <c r="AA363" i="48"/>
  <c r="Z363" i="48"/>
  <c r="AM363" i="48"/>
  <c r="Z364" i="48"/>
  <c r="AA364" i="48"/>
  <c r="AO364" i="48" s="1"/>
  <c r="AF369" i="48"/>
  <c r="AK368" i="48" s="1"/>
  <c r="O366" i="48"/>
  <c r="Z259" i="48"/>
  <c r="AA259" i="48"/>
  <c r="Z208" i="48"/>
  <c r="AA208" i="48"/>
  <c r="Z240" i="48"/>
  <c r="AA240" i="48"/>
  <c r="AB347" i="48"/>
  <c r="AP347" i="48" s="1"/>
  <c r="AB295" i="48"/>
  <c r="AP295" i="48" s="1"/>
  <c r="AM347" i="48"/>
  <c r="AM31" i="48"/>
  <c r="AM295" i="48"/>
  <c r="Y260" i="48"/>
  <c r="AM151" i="48"/>
  <c r="AB257" i="48"/>
  <c r="AP257" i="48" s="1"/>
  <c r="AM257" i="48"/>
  <c r="AA12" i="48"/>
  <c r="Z12" i="48"/>
  <c r="AN192" i="48"/>
  <c r="AM161" i="48"/>
  <c r="AM87" i="48"/>
  <c r="AB87" i="48"/>
  <c r="AR83" i="48"/>
  <c r="AN135" i="48"/>
  <c r="AK83" i="48"/>
  <c r="AM272" i="48"/>
  <c r="AM201" i="48"/>
  <c r="AB206" i="48"/>
  <c r="AP206" i="48" s="1"/>
  <c r="AK362" i="48"/>
  <c r="AM42" i="48"/>
  <c r="AM206" i="48"/>
  <c r="AM140" i="48"/>
  <c r="AB42" i="48"/>
  <c r="AN141" i="48"/>
  <c r="AN86" i="48"/>
  <c r="AN13" i="48"/>
  <c r="AR202" i="48"/>
  <c r="AB300" i="48"/>
  <c r="AB363" i="48"/>
  <c r="AB364" i="48"/>
  <c r="AP364" i="48" s="1"/>
  <c r="AM113" i="48"/>
  <c r="AM293" i="48"/>
  <c r="AM333" i="48"/>
  <c r="AK258" i="48"/>
  <c r="Y212" i="48"/>
  <c r="AN349" i="48"/>
  <c r="AR36" i="48"/>
  <c r="Y91" i="48"/>
  <c r="AB333" i="48"/>
  <c r="AP333" i="48" s="1"/>
  <c r="AM256" i="48"/>
  <c r="AB93" i="48"/>
  <c r="AP93" i="48" s="1"/>
  <c r="AM150" i="48"/>
  <c r="AR361" i="48"/>
  <c r="AR362" i="48" s="1"/>
  <c r="AN263" i="48"/>
  <c r="AR360" i="48"/>
  <c r="Y20" i="48"/>
  <c r="AR115" i="48"/>
  <c r="AM119" i="48"/>
  <c r="AB128" i="48"/>
  <c r="AP128" i="48" s="1"/>
  <c r="AM128" i="48"/>
  <c r="AN20" i="48"/>
  <c r="AK110" i="48"/>
  <c r="Y125" i="48"/>
  <c r="AR258" i="48"/>
  <c r="AK286" i="48"/>
  <c r="O369" i="48"/>
  <c r="U368" i="48" s="1"/>
  <c r="AB62" i="48"/>
  <c r="AP62" i="48" s="1"/>
  <c r="AR89" i="48"/>
  <c r="AK54" i="48"/>
  <c r="AK89" i="48"/>
  <c r="Y141" i="48"/>
  <c r="Y207" i="48"/>
  <c r="AN266" i="48"/>
  <c r="AK115" i="48"/>
  <c r="Y27" i="48"/>
  <c r="AM32" i="48"/>
  <c r="AM162" i="48"/>
  <c r="Y192" i="48"/>
  <c r="AB196" i="48"/>
  <c r="AP196" i="48" s="1"/>
  <c r="AB32" i="48"/>
  <c r="AP32" i="48" s="1"/>
  <c r="Y158" i="48"/>
  <c r="AM196" i="48"/>
  <c r="AR281" i="48"/>
  <c r="AR286" i="48" s="1"/>
  <c r="AM35" i="48"/>
  <c r="AM68" i="48"/>
  <c r="AB173" i="48"/>
  <c r="Y220" i="48"/>
  <c r="Y365" i="48"/>
  <c r="Y291" i="48"/>
  <c r="AR291" i="48"/>
  <c r="AK215" i="48"/>
  <c r="AR33" i="48"/>
  <c r="AK202" i="48"/>
  <c r="Y269" i="48"/>
  <c r="Y344" i="48"/>
  <c r="AM294" i="48"/>
  <c r="AK291" i="48"/>
  <c r="AB16" i="48"/>
  <c r="AP16" i="48" s="1"/>
  <c r="Y60" i="48"/>
  <c r="AR155" i="48"/>
  <c r="AM364" i="48"/>
  <c r="Y17" i="48"/>
  <c r="Y45" i="48"/>
  <c r="Y72" i="48"/>
  <c r="Y83" i="48"/>
  <c r="AK17" i="48"/>
  <c r="AK98" i="48"/>
  <c r="AB198" i="48"/>
  <c r="AK36" i="48"/>
  <c r="AK207" i="48"/>
  <c r="Y266" i="48"/>
  <c r="Y304" i="48"/>
  <c r="Y318" i="48"/>
  <c r="AK260" i="48"/>
  <c r="AB213" i="48"/>
  <c r="AM305" i="48"/>
  <c r="AB305" i="48"/>
  <c r="AR39" i="48"/>
  <c r="AR215" i="48"/>
  <c r="AR24" i="48"/>
  <c r="AR54" i="48"/>
  <c r="Y328" i="48"/>
  <c r="AK360" i="48"/>
  <c r="AR135" i="48"/>
  <c r="AK24" i="48"/>
  <c r="AN94" i="48"/>
  <c r="AK120" i="48"/>
  <c r="AR20" i="48"/>
  <c r="AR104" i="48"/>
  <c r="AR120" i="48"/>
  <c r="AK266" i="48"/>
  <c r="AR355" i="48"/>
  <c r="AK33" i="48"/>
  <c r="Y39" i="48"/>
  <c r="AR98" i="48"/>
  <c r="Y120" i="48"/>
  <c r="AR163" i="48"/>
  <c r="AR318" i="48"/>
  <c r="Y202" i="48"/>
  <c r="AK130" i="48"/>
  <c r="AM340" i="48"/>
  <c r="AB340" i="48"/>
  <c r="AB28" i="48"/>
  <c r="Y78" i="48"/>
  <c r="AM214" i="48"/>
  <c r="AM80" i="48"/>
  <c r="AK135" i="48"/>
  <c r="AB52" i="48"/>
  <c r="AR187" i="48"/>
  <c r="AK81" i="48"/>
  <c r="AR79" i="48"/>
  <c r="AR81" i="48" s="1"/>
  <c r="Y163" i="48"/>
  <c r="AN280" i="48"/>
  <c r="Y280" i="48"/>
  <c r="AK187" i="48"/>
  <c r="AR239" i="48"/>
  <c r="Y254" i="48"/>
  <c r="AN291" i="48"/>
  <c r="AB264" i="48"/>
  <c r="AR138" i="48"/>
  <c r="AR141" i="48" s="1"/>
  <c r="AK141" i="48"/>
  <c r="AR55" i="48"/>
  <c r="AR56" i="48" s="1"/>
  <c r="AK56" i="48"/>
  <c r="AR152" i="48"/>
  <c r="AK152" i="48"/>
  <c r="AR205" i="48"/>
  <c r="AR207" i="48" s="1"/>
  <c r="AK372" i="48"/>
  <c r="AR319" i="48"/>
  <c r="AR323" i="48" s="1"/>
  <c r="AK323" i="48"/>
  <c r="AR341" i="48"/>
  <c r="AR344" i="48" s="1"/>
  <c r="AK344" i="48"/>
  <c r="AK43" i="48"/>
  <c r="AR42" i="48"/>
  <c r="AR43" i="48" s="1"/>
  <c r="AM271" i="48"/>
  <c r="AM275" i="48"/>
  <c r="AM53" i="48"/>
  <c r="AK20" i="48"/>
  <c r="AK75" i="48"/>
  <c r="AN72" i="48"/>
  <c r="Y75" i="48"/>
  <c r="AM52" i="48"/>
  <c r="Y182" i="48"/>
  <c r="AN202" i="48"/>
  <c r="AK239" i="48"/>
  <c r="Y241" i="48"/>
  <c r="AB275" i="48"/>
  <c r="AP275" i="48" s="1"/>
  <c r="AM273" i="48"/>
  <c r="Y177" i="48"/>
  <c r="AR130" i="48"/>
  <c r="AK39" i="48"/>
  <c r="Y130" i="48"/>
  <c r="Y167" i="48"/>
  <c r="AR172" i="48"/>
  <c r="AN318" i="48"/>
  <c r="AR264" i="48"/>
  <c r="AR266" i="48" s="1"/>
  <c r="AB273" i="48"/>
  <c r="AP273" i="48" s="1"/>
  <c r="Y56" i="48"/>
  <c r="Y299" i="48"/>
  <c r="AR75" i="48"/>
  <c r="AK104" i="48"/>
  <c r="AK172" i="48"/>
  <c r="AR276" i="48"/>
  <c r="AK318" i="48"/>
  <c r="AR328" i="48"/>
  <c r="Y355" i="48"/>
  <c r="AK299" i="48"/>
  <c r="AR334" i="48"/>
  <c r="AN63" i="48"/>
  <c r="Y63" i="48"/>
  <c r="Y30" i="48"/>
  <c r="Y94" i="48"/>
  <c r="Y197" i="48"/>
  <c r="AK276" i="48"/>
  <c r="AR299" i="48"/>
  <c r="AK334" i="48"/>
  <c r="AR61" i="48"/>
  <c r="AR63" i="48" s="1"/>
  <c r="AK63" i="48"/>
  <c r="AR208" i="48"/>
  <c r="AR209" i="48" s="1"/>
  <c r="AK209" i="48"/>
  <c r="AN312" i="48"/>
  <c r="Y312" i="48"/>
  <c r="AM290" i="48"/>
  <c r="AB290" i="48"/>
  <c r="AP290" i="48" s="1"/>
  <c r="AM18" i="48"/>
  <c r="AB18" i="48"/>
  <c r="AK312" i="48"/>
  <c r="AK339" i="48"/>
  <c r="AM22" i="48"/>
  <c r="AB22" i="48"/>
  <c r="AP22" i="48" s="1"/>
  <c r="AM64" i="48"/>
  <c r="AB64" i="48"/>
  <c r="AK66" i="48"/>
  <c r="AR64" i="48"/>
  <c r="AR66" i="48" s="1"/>
  <c r="AB97" i="48"/>
  <c r="AP97" i="48" s="1"/>
  <c r="AM97" i="48"/>
  <c r="AK86" i="48"/>
  <c r="AR84" i="48"/>
  <c r="AR86" i="48" s="1"/>
  <c r="AM103" i="48"/>
  <c r="AB103" i="48"/>
  <c r="AK212" i="48"/>
  <c r="AR210" i="48"/>
  <c r="AR212" i="48" s="1"/>
  <c r="AB136" i="48"/>
  <c r="AM136" i="48"/>
  <c r="Y209" i="48"/>
  <c r="AN209" i="48"/>
  <c r="AM222" i="48"/>
  <c r="AB222" i="48"/>
  <c r="AP222" i="48" s="1"/>
  <c r="AB250" i="48"/>
  <c r="AP250" i="48" s="1"/>
  <c r="AM250" i="48"/>
  <c r="AR363" i="48"/>
  <c r="AR365" i="48" s="1"/>
  <c r="AK365" i="48"/>
  <c r="AB76" i="48"/>
  <c r="AM76" i="48"/>
  <c r="AM90" i="48"/>
  <c r="AB90" i="48"/>
  <c r="AB91" i="48" s="1"/>
  <c r="AB191" i="48"/>
  <c r="AP191" i="48" s="1"/>
  <c r="AM191" i="48"/>
  <c r="AB225" i="48"/>
  <c r="AM225" i="48"/>
  <c r="AM321" i="48"/>
  <c r="AB321" i="48"/>
  <c r="AP321" i="48" s="1"/>
  <c r="AM326" i="48"/>
  <c r="AB326" i="48"/>
  <c r="AP326" i="48" s="1"/>
  <c r="AM341" i="48"/>
  <c r="AB341" i="48"/>
  <c r="AM23" i="48"/>
  <c r="AB23" i="48"/>
  <c r="AP23" i="48" s="1"/>
  <c r="AM12" i="48"/>
  <c r="AB12" i="48"/>
  <c r="AB13" i="48" s="1"/>
  <c r="U379" i="48"/>
  <c r="AN17" i="48"/>
  <c r="AM14" i="48"/>
  <c r="AB14" i="48"/>
  <c r="AR48" i="48"/>
  <c r="Y48" i="48"/>
  <c r="AN48" i="48"/>
  <c r="AB55" i="48"/>
  <c r="AB56" i="48" s="1"/>
  <c r="AM55" i="48"/>
  <c r="AB25" i="48"/>
  <c r="AM25" i="48"/>
  <c r="AN43" i="48"/>
  <c r="Y43" i="48"/>
  <c r="AK45" i="48"/>
  <c r="AM65" i="48"/>
  <c r="AB65" i="48"/>
  <c r="AP65" i="48" s="1"/>
  <c r="AB108" i="48"/>
  <c r="AP108" i="48" s="1"/>
  <c r="AM108" i="48"/>
  <c r="AN89" i="48"/>
  <c r="Y89" i="48"/>
  <c r="AN378" i="48"/>
  <c r="Y378" i="48"/>
  <c r="AM102" i="48"/>
  <c r="AB102" i="48"/>
  <c r="AP102" i="48" s="1"/>
  <c r="AN377" i="48"/>
  <c r="Y377" i="48"/>
  <c r="AM126" i="48"/>
  <c r="AB126" i="48"/>
  <c r="AM203" i="48"/>
  <c r="AB176" i="48"/>
  <c r="AP176" i="48" s="1"/>
  <c r="AM176" i="48"/>
  <c r="AB175" i="48"/>
  <c r="AP175" i="48" s="1"/>
  <c r="AM175" i="48"/>
  <c r="AM231" i="48"/>
  <c r="AB231" i="48"/>
  <c r="AP231" i="48" s="1"/>
  <c r="AB244" i="48"/>
  <c r="AP244" i="48" s="1"/>
  <c r="AM244" i="48"/>
  <c r="AM261" i="48"/>
  <c r="AB261" i="48"/>
  <c r="AB216" i="48"/>
  <c r="AM216" i="48"/>
  <c r="AR240" i="48"/>
  <c r="AK241" i="48"/>
  <c r="AK378" i="48"/>
  <c r="Y223" i="48"/>
  <c r="AN223" i="48"/>
  <c r="AB240" i="48"/>
  <c r="AB241" i="48" s="1"/>
  <c r="AM240" i="48"/>
  <c r="AM241" i="48" s="1"/>
  <c r="AK254" i="48"/>
  <c r="AR252" i="48"/>
  <c r="AR254" i="48" s="1"/>
  <c r="AM274" i="48"/>
  <c r="AB274" i="48"/>
  <c r="AP274" i="48" s="1"/>
  <c r="AB190" i="48"/>
  <c r="AP190" i="48" s="1"/>
  <c r="AM190" i="48"/>
  <c r="AM342" i="48"/>
  <c r="AB342" i="48"/>
  <c r="AP342" i="48" s="1"/>
  <c r="AK355" i="48"/>
  <c r="AB359" i="48"/>
  <c r="AP359" i="48" s="1"/>
  <c r="AM359" i="48"/>
  <c r="AM297" i="48"/>
  <c r="AB297" i="48"/>
  <c r="Y339" i="48"/>
  <c r="AM124" i="48"/>
  <c r="AB124" i="48"/>
  <c r="AP124" i="48" s="1"/>
  <c r="Y172" i="48"/>
  <c r="AK220" i="48"/>
  <c r="AR216" i="48"/>
  <c r="AR220" i="48" s="1"/>
  <c r="AM284" i="48"/>
  <c r="AB284" i="48"/>
  <c r="AP284" i="48" s="1"/>
  <c r="AB38" i="48"/>
  <c r="AP38" i="48" s="1"/>
  <c r="AM38" i="48"/>
  <c r="AN33" i="48"/>
  <c r="Y33" i="48"/>
  <c r="AM44" i="48"/>
  <c r="AB44" i="48"/>
  <c r="AB45" i="48" s="1"/>
  <c r="AB218" i="48"/>
  <c r="AP218" i="48" s="1"/>
  <c r="AM218" i="48"/>
  <c r="AR90" i="48"/>
  <c r="AR91" i="48" s="1"/>
  <c r="AK91" i="48"/>
  <c r="AM100" i="48"/>
  <c r="AB100" i="48"/>
  <c r="AR110" i="48"/>
  <c r="AR124" i="48"/>
  <c r="AR377" i="48" s="1"/>
  <c r="AK377" i="48"/>
  <c r="AM145" i="48"/>
  <c r="AB145" i="48"/>
  <c r="AP145" i="48" s="1"/>
  <c r="AM169" i="48"/>
  <c r="AB169" i="48"/>
  <c r="AP169" i="48" s="1"/>
  <c r="AM147" i="48"/>
  <c r="AB147" i="48"/>
  <c r="AR225" i="48"/>
  <c r="AR228" i="48" s="1"/>
  <c r="AK373" i="48"/>
  <c r="AN258" i="48"/>
  <c r="Y258" i="48"/>
  <c r="AM259" i="48"/>
  <c r="AM260" i="48" s="1"/>
  <c r="AB259" i="48"/>
  <c r="AB260" i="48" s="1"/>
  <c r="AM268" i="48"/>
  <c r="AB268" i="48"/>
  <c r="AP268" i="48" s="1"/>
  <c r="AM302" i="48"/>
  <c r="AB302" i="48"/>
  <c r="AP302" i="48" s="1"/>
  <c r="AR15" i="48"/>
  <c r="AK370" i="48"/>
  <c r="AN376" i="48"/>
  <c r="Y376" i="48"/>
  <c r="AM29" i="48"/>
  <c r="AB29" i="48"/>
  <c r="AP29" i="48" s="1"/>
  <c r="Y36" i="48"/>
  <c r="AN36" i="48"/>
  <c r="AK48" i="48"/>
  <c r="AK13" i="48"/>
  <c r="AR12" i="48"/>
  <c r="AK379" i="48"/>
  <c r="AB74" i="48"/>
  <c r="AP74" i="48" s="1"/>
  <c r="AM74" i="48"/>
  <c r="AR45" i="48"/>
  <c r="AK60" i="48"/>
  <c r="AB111" i="48"/>
  <c r="AM111" i="48"/>
  <c r="Y146" i="48"/>
  <c r="AN146" i="48"/>
  <c r="AN152" i="48"/>
  <c r="Y152" i="48"/>
  <c r="AK177" i="48"/>
  <c r="AR173" i="48"/>
  <c r="AR177" i="48" s="1"/>
  <c r="AM134" i="48"/>
  <c r="AB134" i="48"/>
  <c r="AP134" i="48" s="1"/>
  <c r="AM233" i="48"/>
  <c r="AB233" i="48"/>
  <c r="AM230" i="48"/>
  <c r="AB230" i="48"/>
  <c r="AP230" i="48" s="1"/>
  <c r="AM221" i="48"/>
  <c r="AB221" i="48"/>
  <c r="AM262" i="48"/>
  <c r="AB262" i="48"/>
  <c r="AP262" i="48" s="1"/>
  <c r="AM237" i="48"/>
  <c r="AB237" i="48"/>
  <c r="AP237" i="48" s="1"/>
  <c r="AM278" i="48"/>
  <c r="AB278" i="48"/>
  <c r="AP278" i="48" s="1"/>
  <c r="AM253" i="48"/>
  <c r="AB253" i="48"/>
  <c r="AP253" i="48" s="1"/>
  <c r="AM279" i="48"/>
  <c r="AB279" i="48"/>
  <c r="AP279" i="48" s="1"/>
  <c r="AM307" i="48"/>
  <c r="AB307" i="48"/>
  <c r="AP307" i="48" s="1"/>
  <c r="AM298" i="48"/>
  <c r="AB298" i="48"/>
  <c r="AP298" i="48" s="1"/>
  <c r="AM287" i="48"/>
  <c r="AB287" i="48"/>
  <c r="AK349" i="48"/>
  <c r="AR345" i="48"/>
  <c r="AR349" i="48" s="1"/>
  <c r="AM332" i="48"/>
  <c r="AB332" i="48"/>
  <c r="AP332" i="48" s="1"/>
  <c r="AM325" i="48"/>
  <c r="AB325" i="48"/>
  <c r="AP325" i="48" s="1"/>
  <c r="AK328" i="48"/>
  <c r="Y349" i="48"/>
  <c r="AR49" i="48"/>
  <c r="AR51" i="48" s="1"/>
  <c r="AK51" i="48"/>
  <c r="AB118" i="48"/>
  <c r="AP118" i="48" s="1"/>
  <c r="AM118" i="48"/>
  <c r="Y373" i="48"/>
  <c r="AM236" i="48"/>
  <c r="AB236" i="48"/>
  <c r="AP236" i="48" s="1"/>
  <c r="AM242" i="48"/>
  <c r="AB242" i="48"/>
  <c r="AM353" i="48"/>
  <c r="AB353" i="48"/>
  <c r="AP353" i="48" s="1"/>
  <c r="AM336" i="48"/>
  <c r="AB336" i="48"/>
  <c r="AP336" i="48" s="1"/>
  <c r="AK376" i="48"/>
  <c r="Y41" i="48"/>
  <c r="AN41" i="48"/>
  <c r="Y110" i="48"/>
  <c r="AM249" i="48"/>
  <c r="AB249" i="48"/>
  <c r="AP249" i="48" s="1"/>
  <c r="Y232" i="48"/>
  <c r="AN232" i="48"/>
  <c r="AR247" i="48"/>
  <c r="AR251" i="48" s="1"/>
  <c r="AK251" i="48"/>
  <c r="AK263" i="48"/>
  <c r="AR261" i="48"/>
  <c r="AR263" i="48" s="1"/>
  <c r="Y286" i="48"/>
  <c r="AN286" i="48"/>
  <c r="Y24" i="48"/>
  <c r="AN370" i="48"/>
  <c r="Y370" i="48"/>
  <c r="AN81" i="48"/>
  <c r="Y81" i="48"/>
  <c r="AM165" i="48"/>
  <c r="AB165" i="48"/>
  <c r="AP165" i="48" s="1"/>
  <c r="AM168" i="48"/>
  <c r="AB168" i="48"/>
  <c r="AM195" i="48"/>
  <c r="AB195" i="48"/>
  <c r="AP195" i="48" s="1"/>
  <c r="AR178" i="48"/>
  <c r="AR182" i="48" s="1"/>
  <c r="AK182" i="48"/>
  <c r="AB226" i="48"/>
  <c r="AP226" i="48" s="1"/>
  <c r="AM226" i="48"/>
  <c r="AM354" i="48"/>
  <c r="AB354" i="48"/>
  <c r="AP354" i="48" s="1"/>
  <c r="AM40" i="48"/>
  <c r="AB40" i="48"/>
  <c r="AB41" i="48" s="1"/>
  <c r="AB37" i="48"/>
  <c r="AM37" i="48"/>
  <c r="AM59" i="48"/>
  <c r="AB59" i="48"/>
  <c r="AP59" i="48" s="1"/>
  <c r="AK78" i="48"/>
  <c r="AR76" i="48"/>
  <c r="AR78" i="48" s="1"/>
  <c r="AM84" i="48"/>
  <c r="AB84" i="48"/>
  <c r="AR60" i="48"/>
  <c r="AB95" i="48"/>
  <c r="AM95" i="48"/>
  <c r="AM92" i="48"/>
  <c r="AB92" i="48"/>
  <c r="Y104" i="48"/>
  <c r="Y371" i="48"/>
  <c r="AM156" i="48"/>
  <c r="AB156" i="48"/>
  <c r="AP156" i="48" s="1"/>
  <c r="AM186" i="48"/>
  <c r="AB186" i="48"/>
  <c r="AP186" i="48" s="1"/>
  <c r="AB210" i="48"/>
  <c r="AM210" i="48"/>
  <c r="AM129" i="48"/>
  <c r="AB129" i="48"/>
  <c r="AP129" i="48" s="1"/>
  <c r="Y187" i="48"/>
  <c r="AN187" i="48"/>
  <c r="AB219" i="48"/>
  <c r="AP219" i="48" s="1"/>
  <c r="AM219" i="48"/>
  <c r="AK228" i="48"/>
  <c r="Y246" i="48"/>
  <c r="AN251" i="48"/>
  <c r="Y251" i="48"/>
  <c r="AN323" i="48"/>
  <c r="Y323" i="48"/>
  <c r="Y372" i="48"/>
  <c r="AM303" i="48"/>
  <c r="AB303" i="48"/>
  <c r="AP303" i="48" s="1"/>
  <c r="AB243" i="48"/>
  <c r="AP243" i="48" s="1"/>
  <c r="AM243" i="48"/>
  <c r="AM317" i="48"/>
  <c r="AB317" i="48"/>
  <c r="AP317" i="48" s="1"/>
  <c r="U373" i="48"/>
  <c r="Y309" i="48"/>
  <c r="AK296" i="48"/>
  <c r="AR292" i="48"/>
  <c r="AR296" i="48" s="1"/>
  <c r="AN360" i="48"/>
  <c r="Y360" i="48"/>
  <c r="AN296" i="48"/>
  <c r="AM310" i="48"/>
  <c r="AB310" i="48"/>
  <c r="Y334" i="48"/>
  <c r="AN334" i="48"/>
  <c r="AM346" i="48"/>
  <c r="AB346" i="48"/>
  <c r="AK30" i="48"/>
  <c r="AR28" i="48"/>
  <c r="AR30" i="48" s="1"/>
  <c r="AM50" i="48"/>
  <c r="AB50" i="48"/>
  <c r="AP50" i="48" s="1"/>
  <c r="Y54" i="48"/>
  <c r="AN54" i="48"/>
  <c r="AM208" i="48"/>
  <c r="AM209" i="48" s="1"/>
  <c r="AB208" i="48"/>
  <c r="AB209" i="48" s="1"/>
  <c r="AM337" i="48"/>
  <c r="AB337" i="48"/>
  <c r="AP337" i="48" s="1"/>
  <c r="AM193" i="48"/>
  <c r="AB193" i="48"/>
  <c r="AN228" i="48"/>
  <c r="Y228" i="48"/>
  <c r="AR300" i="48"/>
  <c r="AR304" i="48" s="1"/>
  <c r="AK304" i="48"/>
  <c r="AB247" i="48"/>
  <c r="AM247" i="48"/>
  <c r="AM320" i="48"/>
  <c r="AB320" i="48"/>
  <c r="AP320" i="48" s="1"/>
  <c r="AM316" i="48"/>
  <c r="AB316" i="48"/>
  <c r="AP316" i="48" s="1"/>
  <c r="AM315" i="48"/>
  <c r="AB315" i="48"/>
  <c r="AP315" i="48" s="1"/>
  <c r="AM348" i="48"/>
  <c r="AB348" i="48"/>
  <c r="AP348" i="48" s="1"/>
  <c r="AK41" i="48"/>
  <c r="AR40" i="48"/>
  <c r="AR41" i="48" s="1"/>
  <c r="AM171" i="48"/>
  <c r="AB171" i="48"/>
  <c r="AP171" i="48" s="1"/>
  <c r="Y239" i="48"/>
  <c r="AN239" i="48"/>
  <c r="AR229" i="48"/>
  <c r="AR232" i="48" s="1"/>
  <c r="AK232" i="48"/>
  <c r="AN276" i="48"/>
  <c r="Y276" i="48"/>
  <c r="AM21" i="48"/>
  <c r="AB21" i="48"/>
  <c r="Y51" i="48"/>
  <c r="AN51" i="48"/>
  <c r="AM57" i="48"/>
  <c r="AB57" i="48"/>
  <c r="AM77" i="48"/>
  <c r="AB77" i="48"/>
  <c r="AP77" i="48" s="1"/>
  <c r="AM71" i="48"/>
  <c r="AB71" i="48"/>
  <c r="AP71" i="48" s="1"/>
  <c r="AR93" i="48"/>
  <c r="AR94" i="48" s="1"/>
  <c r="AK94" i="48"/>
  <c r="AB99" i="48"/>
  <c r="AM99" i="48"/>
  <c r="Y115" i="48"/>
  <c r="AN115" i="48"/>
  <c r="AM131" i="48"/>
  <c r="AB131" i="48"/>
  <c r="AM123" i="48"/>
  <c r="AB123" i="48"/>
  <c r="AP123" i="48" s="1"/>
  <c r="AK125" i="48"/>
  <c r="AR121" i="48"/>
  <c r="AK371" i="48"/>
  <c r="AM155" i="48"/>
  <c r="AB139" i="48"/>
  <c r="AP139" i="48" s="1"/>
  <c r="AM139" i="48"/>
  <c r="AK163" i="48"/>
  <c r="AM166" i="48"/>
  <c r="AB166" i="48"/>
  <c r="AP166" i="48" s="1"/>
  <c r="AM170" i="48"/>
  <c r="AB170" i="48"/>
  <c r="AP170" i="48" s="1"/>
  <c r="AB148" i="48"/>
  <c r="AP148" i="48" s="1"/>
  <c r="AM148" i="48"/>
  <c r="AB211" i="48"/>
  <c r="AP211" i="48" s="1"/>
  <c r="AM211" i="48"/>
  <c r="AB188" i="48"/>
  <c r="AM188" i="48"/>
  <c r="AM180" i="48"/>
  <c r="AB180" i="48"/>
  <c r="AP180" i="48" s="1"/>
  <c r="AM204" i="48"/>
  <c r="AB204" i="48"/>
  <c r="AP204" i="48" s="1"/>
  <c r="Y215" i="48"/>
  <c r="AN215" i="48"/>
  <c r="AN207" i="48"/>
  <c r="AN372" i="48"/>
  <c r="AK246" i="48"/>
  <c r="AR242" i="48"/>
  <c r="AR246" i="48" s="1"/>
  <c r="AM248" i="48"/>
  <c r="AB248" i="48"/>
  <c r="AP248" i="48" s="1"/>
  <c r="AB227" i="48"/>
  <c r="AP227" i="48" s="1"/>
  <c r="AM227" i="48"/>
  <c r="AR221" i="48"/>
  <c r="AR223" i="48" s="1"/>
  <c r="AK223" i="48"/>
  <c r="AB245" i="48"/>
  <c r="AP245" i="48" s="1"/>
  <c r="AM245" i="48"/>
  <c r="AM270" i="48"/>
  <c r="AB270" i="48"/>
  <c r="AK269" i="48"/>
  <c r="AK309" i="48"/>
  <c r="AR305" i="48"/>
  <c r="AR309" i="48" s="1"/>
  <c r="Y263" i="48"/>
  <c r="AB322" i="48"/>
  <c r="AP322" i="48" s="1"/>
  <c r="AM322" i="48"/>
  <c r="Y296" i="48"/>
  <c r="AM343" i="48"/>
  <c r="AB343" i="48"/>
  <c r="AP343" i="48" s="1"/>
  <c r="AM289" i="48"/>
  <c r="AB289" i="48"/>
  <c r="AP289" i="48" s="1"/>
  <c r="AM47" i="48"/>
  <c r="AB47" i="48"/>
  <c r="AP47" i="48" s="1"/>
  <c r="AB107" i="48"/>
  <c r="AP107" i="48" s="1"/>
  <c r="AM107" i="48"/>
  <c r="AB116" i="48"/>
  <c r="AM116" i="48"/>
  <c r="AM144" i="48"/>
  <c r="AB144" i="48"/>
  <c r="AP144" i="48" s="1"/>
  <c r="AR164" i="48"/>
  <c r="AR167" i="48" s="1"/>
  <c r="AK167" i="48"/>
  <c r="AR192" i="48"/>
  <c r="AM234" i="48"/>
  <c r="AB234" i="48"/>
  <c r="AP234" i="48" s="1"/>
  <c r="AM319" i="48"/>
  <c r="AB319" i="48"/>
  <c r="AM67" i="48"/>
  <c r="AB67" i="48"/>
  <c r="AM133" i="48"/>
  <c r="AB133" i="48"/>
  <c r="AP133" i="48" s="1"/>
  <c r="AM157" i="48"/>
  <c r="AB157" i="48"/>
  <c r="AP157" i="48" s="1"/>
  <c r="AN362" i="48"/>
  <c r="Y362" i="48"/>
  <c r="AB73" i="48"/>
  <c r="AM73" i="48"/>
  <c r="AB61" i="48"/>
  <c r="AM61" i="48"/>
  <c r="AM185" i="48"/>
  <c r="AB185" i="48"/>
  <c r="AP185" i="48" s="1"/>
  <c r="AM285" i="48"/>
  <c r="AB285" i="48"/>
  <c r="AP285" i="48" s="1"/>
  <c r="AN339" i="48"/>
  <c r="AM327" i="48"/>
  <c r="AB327" i="48"/>
  <c r="AP327" i="48" s="1"/>
  <c r="AM338" i="48"/>
  <c r="AB338" i="48"/>
  <c r="AP338" i="48" s="1"/>
  <c r="AR25" i="48"/>
  <c r="AK27" i="48"/>
  <c r="AB26" i="48"/>
  <c r="AP26" i="48" s="1"/>
  <c r="AM26" i="48"/>
  <c r="AM19" i="48"/>
  <c r="AB19" i="48"/>
  <c r="AP19" i="48" s="1"/>
  <c r="AM46" i="48"/>
  <c r="AB46" i="48"/>
  <c r="AK69" i="48"/>
  <c r="AR68" i="48"/>
  <c r="AR69" i="48" s="1"/>
  <c r="AM49" i="48"/>
  <c r="AB49" i="48"/>
  <c r="AR70" i="48"/>
  <c r="AR72" i="48" s="1"/>
  <c r="AK72" i="48"/>
  <c r="AM58" i="48"/>
  <c r="AB58" i="48"/>
  <c r="AP58" i="48" s="1"/>
  <c r="AN69" i="48"/>
  <c r="Y69" i="48"/>
  <c r="Y66" i="48"/>
  <c r="AN66" i="48"/>
  <c r="AB88" i="48"/>
  <c r="AP88" i="48" s="1"/>
  <c r="AM88" i="48"/>
  <c r="AB96" i="48"/>
  <c r="AP96" i="48" s="1"/>
  <c r="AM96" i="48"/>
  <c r="AB109" i="48"/>
  <c r="AM109" i="48"/>
  <c r="U378" i="48"/>
  <c r="AN98" i="48"/>
  <c r="Y98" i="48"/>
  <c r="Y135" i="48"/>
  <c r="AK146" i="48"/>
  <c r="AR142" i="48"/>
  <c r="AR146" i="48" s="1"/>
  <c r="AK158" i="48"/>
  <c r="AR153" i="48"/>
  <c r="AM164" i="48"/>
  <c r="AB164" i="48"/>
  <c r="AM142" i="48"/>
  <c r="AB142" i="48"/>
  <c r="AB138" i="48"/>
  <c r="AP138" i="48" s="1"/>
  <c r="AM138" i="48"/>
  <c r="AK192" i="48"/>
  <c r="AK197" i="48"/>
  <c r="AR193" i="48"/>
  <c r="AR197" i="48" s="1"/>
  <c r="AM205" i="48"/>
  <c r="AB205" i="48"/>
  <c r="AP205" i="48" s="1"/>
  <c r="AM178" i="48"/>
  <c r="AB178" i="48"/>
  <c r="Y379" i="48"/>
  <c r="AM238" i="48"/>
  <c r="AB238" i="48"/>
  <c r="AP238" i="48" s="1"/>
  <c r="AM283" i="48"/>
  <c r="AB283" i="48"/>
  <c r="AP283" i="48" s="1"/>
  <c r="AM281" i="48"/>
  <c r="AB281" i="48"/>
  <c r="AM267" i="48"/>
  <c r="AB267" i="48"/>
  <c r="AR269" i="48"/>
  <c r="AR277" i="48"/>
  <c r="AR280" i="48" s="1"/>
  <c r="AK280" i="48"/>
  <c r="AM301" i="48"/>
  <c r="AB301" i="48"/>
  <c r="AB324" i="48"/>
  <c r="AM324" i="48"/>
  <c r="AB357" i="48"/>
  <c r="AP357" i="48" s="1"/>
  <c r="AM357" i="48"/>
  <c r="AR312" i="48"/>
  <c r="AR339" i="48"/>
  <c r="AB358" i="48"/>
  <c r="AP358" i="48" s="1"/>
  <c r="AM358" i="48"/>
  <c r="AB94" i="48" l="1"/>
  <c r="AB48" i="48"/>
  <c r="AB104" i="48"/>
  <c r="AB75" i="48"/>
  <c r="AB192" i="48"/>
  <c r="AB54" i="48"/>
  <c r="AB323" i="48"/>
  <c r="AB98" i="48"/>
  <c r="AB239" i="48"/>
  <c r="AB251" i="48"/>
  <c r="AB328" i="48"/>
  <c r="AB172" i="48"/>
  <c r="AB39" i="48"/>
  <c r="AP213" i="48"/>
  <c r="AB299" i="48"/>
  <c r="AB78" i="48"/>
  <c r="AP198" i="48"/>
  <c r="AB223" i="48"/>
  <c r="AB152" i="48"/>
  <c r="AB30" i="48"/>
  <c r="AB269" i="48"/>
  <c r="AP340" i="48"/>
  <c r="AB344" i="48"/>
  <c r="AP87" i="48"/>
  <c r="AP89" i="48" s="1"/>
  <c r="AB89" i="48"/>
  <c r="AB167" i="48"/>
  <c r="AB51" i="48"/>
  <c r="AB291" i="48"/>
  <c r="AB220" i="48"/>
  <c r="AB130" i="48"/>
  <c r="AB27" i="48"/>
  <c r="AB66" i="48"/>
  <c r="AB20" i="48"/>
  <c r="AP264" i="48"/>
  <c r="AP305" i="48"/>
  <c r="AB365" i="48"/>
  <c r="AP42" i="48"/>
  <c r="AB43" i="48"/>
  <c r="AB146" i="48"/>
  <c r="AB63" i="48"/>
  <c r="AB276" i="48"/>
  <c r="AB212" i="48"/>
  <c r="AB286" i="48"/>
  <c r="AB24" i="48"/>
  <c r="AB135" i="48"/>
  <c r="AB60" i="48"/>
  <c r="AB197" i="48"/>
  <c r="AB246" i="48"/>
  <c r="AB263" i="48"/>
  <c r="AB141" i="48"/>
  <c r="AB177" i="48"/>
  <c r="AP300" i="48"/>
  <c r="AB304" i="48"/>
  <c r="AP31" i="48"/>
  <c r="AP33" i="48" s="1"/>
  <c r="AB33" i="48"/>
  <c r="AL330" i="48"/>
  <c r="AD256" i="48"/>
  <c r="AL256" i="48" s="1"/>
  <c r="AD272" i="48"/>
  <c r="AL272" i="48" s="1"/>
  <c r="AD348" i="48"/>
  <c r="AD326" i="48"/>
  <c r="AD317" i="48"/>
  <c r="AD297" i="48"/>
  <c r="AD284" i="48"/>
  <c r="AL284" i="48" s="1"/>
  <c r="AD253" i="48"/>
  <c r="AD227" i="48"/>
  <c r="AD221" i="48"/>
  <c r="AD213" i="48"/>
  <c r="AD198" i="48"/>
  <c r="AD190" i="48"/>
  <c r="AL190" i="48" s="1"/>
  <c r="AD176" i="48"/>
  <c r="AD168" i="48"/>
  <c r="AD49" i="48"/>
  <c r="AD300" i="48"/>
  <c r="AD242" i="48"/>
  <c r="AD210" i="48"/>
  <c r="AD156" i="48"/>
  <c r="AD142" i="48"/>
  <c r="AD100" i="48"/>
  <c r="AD76" i="48"/>
  <c r="AD61" i="48"/>
  <c r="AD53" i="48"/>
  <c r="AL53" i="48" s="1"/>
  <c r="AD46" i="48"/>
  <c r="AD35" i="48"/>
  <c r="AD22" i="48"/>
  <c r="AD164" i="48"/>
  <c r="AD201" i="48"/>
  <c r="AD359" i="48"/>
  <c r="AL359" i="48" s="1"/>
  <c r="AD65" i="48"/>
  <c r="AD38" i="48"/>
  <c r="AD165" i="48"/>
  <c r="AD170" i="48"/>
  <c r="AD259" i="48"/>
  <c r="AD260" i="48" s="1"/>
  <c r="AD363" i="48"/>
  <c r="AD347" i="48"/>
  <c r="AD325" i="48"/>
  <c r="AD320" i="48"/>
  <c r="AD315" i="48"/>
  <c r="AD302" i="48"/>
  <c r="AD270" i="48"/>
  <c r="AD262" i="48"/>
  <c r="AD247" i="48"/>
  <c r="AD238" i="48"/>
  <c r="AD231" i="48"/>
  <c r="AD136" i="48"/>
  <c r="AD111" i="48"/>
  <c r="AD80" i="48"/>
  <c r="AD64" i="48"/>
  <c r="AD294" i="48"/>
  <c r="AD271" i="48"/>
  <c r="AD151" i="48"/>
  <c r="AD140" i="48"/>
  <c r="AD123" i="48"/>
  <c r="AL123" i="48" s="1"/>
  <c r="AD58" i="48"/>
  <c r="AD18" i="48"/>
  <c r="AD337" i="48"/>
  <c r="AD316" i="48"/>
  <c r="AD225" i="48"/>
  <c r="AD211" i="48"/>
  <c r="AD178" i="48"/>
  <c r="AD67" i="48"/>
  <c r="AD16" i="48"/>
  <c r="AL16" i="48" s="1"/>
  <c r="AD279" i="48"/>
  <c r="AD196" i="48"/>
  <c r="AL196" i="48" s="1"/>
  <c r="AD321" i="48"/>
  <c r="AD357" i="48"/>
  <c r="AD353" i="48"/>
  <c r="AD342" i="48"/>
  <c r="AD336" i="48"/>
  <c r="AD332" i="48"/>
  <c r="AD310" i="48"/>
  <c r="AD295" i="48"/>
  <c r="AD283" i="48"/>
  <c r="AD268" i="48"/>
  <c r="AD261" i="48"/>
  <c r="AD216" i="48"/>
  <c r="AD185" i="48"/>
  <c r="AL185" i="48" s="1"/>
  <c r="AD175" i="48"/>
  <c r="AD162" i="48"/>
  <c r="AL162" i="48" s="1"/>
  <c r="AD145" i="48"/>
  <c r="AD97" i="48"/>
  <c r="AD23" i="48"/>
  <c r="AD233" i="48"/>
  <c r="AD148" i="48"/>
  <c r="AD131" i="48"/>
  <c r="AD107" i="48"/>
  <c r="AD99" i="48"/>
  <c r="AD92" i="48"/>
  <c r="AD74" i="48"/>
  <c r="AD50" i="48"/>
  <c r="AD42" i="48"/>
  <c r="AD43" i="48" s="1"/>
  <c r="AD37" i="48"/>
  <c r="AD21" i="48"/>
  <c r="AD248" i="48"/>
  <c r="AL248" i="48" s="1"/>
  <c r="AD188" i="48"/>
  <c r="AD44" i="48"/>
  <c r="AD45" i="48" s="1"/>
  <c r="AD301" i="48"/>
  <c r="AD273" i="48"/>
  <c r="AD166" i="48"/>
  <c r="AD240" i="48"/>
  <c r="AD241" i="48" s="1"/>
  <c r="AD341" i="48"/>
  <c r="AD290" i="48"/>
  <c r="AD275" i="48"/>
  <c r="AD245" i="48"/>
  <c r="AD237" i="48"/>
  <c r="AD230" i="48"/>
  <c r="AD206" i="48"/>
  <c r="AD193" i="48"/>
  <c r="AD129" i="48"/>
  <c r="AD96" i="48"/>
  <c r="AD73" i="48"/>
  <c r="AD249" i="48"/>
  <c r="AL249" i="48" s="1"/>
  <c r="AD144" i="48"/>
  <c r="AD134" i="48"/>
  <c r="AD126" i="48"/>
  <c r="AD118" i="48"/>
  <c r="AL118" i="48" s="1"/>
  <c r="AD109" i="48"/>
  <c r="AD84" i="48"/>
  <c r="AD29" i="48"/>
  <c r="AD14" i="48"/>
  <c r="AD343" i="48"/>
  <c r="AD243" i="48"/>
  <c r="AD219" i="48"/>
  <c r="AD186" i="48"/>
  <c r="AD346" i="48"/>
  <c r="AD327" i="48"/>
  <c r="AD324" i="48"/>
  <c r="AD319" i="48"/>
  <c r="AD305" i="48"/>
  <c r="AD298" i="48"/>
  <c r="AD293" i="48"/>
  <c r="AD274" i="48"/>
  <c r="AD257" i="48"/>
  <c r="AD244" i="48"/>
  <c r="AD236" i="48"/>
  <c r="AD169" i="48"/>
  <c r="AD139" i="48"/>
  <c r="AD57" i="48"/>
  <c r="AD307" i="48"/>
  <c r="AD278" i="48"/>
  <c r="AD264" i="48"/>
  <c r="AD226" i="48"/>
  <c r="AL226" i="48" s="1"/>
  <c r="AD157" i="48"/>
  <c r="AD102" i="48"/>
  <c r="AL102" i="48" s="1"/>
  <c r="AD95" i="48"/>
  <c r="AD90" i="48"/>
  <c r="AD91" i="48" s="1"/>
  <c r="AD77" i="48"/>
  <c r="AD71" i="48"/>
  <c r="AL71" i="48" s="1"/>
  <c r="AD62" i="48"/>
  <c r="AD55" i="48"/>
  <c r="AD56" i="48" s="1"/>
  <c r="AD32" i="48"/>
  <c r="AD19" i="48"/>
  <c r="AD358" i="48"/>
  <c r="AL358" i="48" s="1"/>
  <c r="AD171" i="48"/>
  <c r="AL171" i="48" s="1"/>
  <c r="AD59" i="48"/>
  <c r="AD28" i="48"/>
  <c r="AD285" i="48"/>
  <c r="AD173" i="48"/>
  <c r="AD208" i="48"/>
  <c r="AD209" i="48" s="1"/>
  <c r="AD364" i="48"/>
  <c r="AD354" i="48"/>
  <c r="AD340" i="48"/>
  <c r="AD333" i="48"/>
  <c r="AD303" i="48"/>
  <c r="AD289" i="48"/>
  <c r="AD281" i="48"/>
  <c r="AD267" i="48"/>
  <c r="AD250" i="48"/>
  <c r="AD222" i="48"/>
  <c r="AL222" i="48" s="1"/>
  <c r="AD205" i="48"/>
  <c r="AD191" i="48"/>
  <c r="AD161" i="48"/>
  <c r="AD147" i="48"/>
  <c r="AD138" i="48"/>
  <c r="AD128" i="48"/>
  <c r="AL128" i="48" s="1"/>
  <c r="AD113" i="48"/>
  <c r="AD103" i="48"/>
  <c r="AD88" i="48"/>
  <c r="AD150" i="48"/>
  <c r="AD133" i="48"/>
  <c r="AD124" i="48"/>
  <c r="AD116" i="48"/>
  <c r="AD108" i="48"/>
  <c r="AD93" i="48"/>
  <c r="AD87" i="48"/>
  <c r="AD47" i="48"/>
  <c r="AD40" i="48"/>
  <c r="AD41" i="48" s="1"/>
  <c r="AD31" i="48"/>
  <c r="AD25" i="48"/>
  <c r="AD338" i="48"/>
  <c r="AD322" i="48"/>
  <c r="AD287" i="48"/>
  <c r="AD234" i="48"/>
  <c r="AD218" i="48"/>
  <c r="AD195" i="48"/>
  <c r="AD180" i="48"/>
  <c r="AD52" i="48"/>
  <c r="AD26" i="48"/>
  <c r="AD204" i="48"/>
  <c r="H13" i="47"/>
  <c r="V367" i="48"/>
  <c r="U367" i="48"/>
  <c r="AD12" i="48"/>
  <c r="AD13" i="48" s="1"/>
  <c r="AL74" i="48"/>
  <c r="AO363" i="48"/>
  <c r="AO365" i="48" s="1"/>
  <c r="AA365" i="48"/>
  <c r="Z209" i="48"/>
  <c r="Z212" i="48"/>
  <c r="Z296" i="48"/>
  <c r="Z130" i="48"/>
  <c r="AA54" i="48"/>
  <c r="AO53" i="48"/>
  <c r="AO54" i="48" s="1"/>
  <c r="AK366" i="48"/>
  <c r="AD13" i="47" s="1"/>
  <c r="Y366" i="48"/>
  <c r="R13" i="47" s="1"/>
  <c r="AM69" i="48"/>
  <c r="AM365" i="48"/>
  <c r="AM33" i="48"/>
  <c r="AR158" i="48"/>
  <c r="AM91" i="48"/>
  <c r="AM276" i="48"/>
  <c r="AB313" i="48"/>
  <c r="AM313" i="48"/>
  <c r="AM318" i="48" s="1"/>
  <c r="AM62" i="48"/>
  <c r="AM63" i="48" s="1"/>
  <c r="AO62" i="48"/>
  <c r="AB155" i="48"/>
  <c r="AD155" i="48" s="1"/>
  <c r="AM89" i="48"/>
  <c r="U372" i="48"/>
  <c r="AB203" i="48"/>
  <c r="AB119" i="48"/>
  <c r="AD119" i="48" s="1"/>
  <c r="AM93" i="48"/>
  <c r="AM94" i="48" s="1"/>
  <c r="AO93" i="48"/>
  <c r="AO119" i="48"/>
  <c r="AM15" i="48"/>
  <c r="AM17" i="48" s="1"/>
  <c r="AB329" i="48"/>
  <c r="AM329" i="48"/>
  <c r="AM334" i="48" s="1"/>
  <c r="AB15" i="48"/>
  <c r="AD15" i="48" s="1"/>
  <c r="AB121" i="48"/>
  <c r="Z254" i="48"/>
  <c r="AM121" i="48"/>
  <c r="AM125" i="48" s="1"/>
  <c r="AP363" i="48"/>
  <c r="AP365" i="48" s="1"/>
  <c r="AM173" i="48"/>
  <c r="AM177" i="48" s="1"/>
  <c r="AM105" i="48"/>
  <c r="AM110" i="48" s="1"/>
  <c r="AB105" i="48"/>
  <c r="AN379" i="48"/>
  <c r="AM252" i="48"/>
  <c r="AM254" i="48" s="1"/>
  <c r="AO198" i="48"/>
  <c r="Z30" i="48"/>
  <c r="AB252" i="48"/>
  <c r="AO68" i="48"/>
  <c r="AB68" i="48"/>
  <c r="AD68" i="48" s="1"/>
  <c r="Z304" i="48"/>
  <c r="AB82" i="48"/>
  <c r="AM82" i="48"/>
  <c r="AM83" i="48" s="1"/>
  <c r="Z309" i="48"/>
  <c r="AO105" i="48"/>
  <c r="AB34" i="48"/>
  <c r="AM34" i="48"/>
  <c r="AM36" i="48" s="1"/>
  <c r="AB224" i="48"/>
  <c r="AM224" i="48"/>
  <c r="AM228" i="48" s="1"/>
  <c r="AM130" i="48"/>
  <c r="AM308" i="48"/>
  <c r="AM309" i="48" s="1"/>
  <c r="AM54" i="48"/>
  <c r="Z355" i="48"/>
  <c r="AR372" i="48"/>
  <c r="Z187" i="48"/>
  <c r="AM198" i="48"/>
  <c r="AM378" i="48"/>
  <c r="AB292" i="48"/>
  <c r="AR125" i="48"/>
  <c r="AM292" i="48"/>
  <c r="AM296" i="48" s="1"/>
  <c r="AO305" i="48"/>
  <c r="AM28" i="48"/>
  <c r="AM30" i="48" s="1"/>
  <c r="AO28" i="48"/>
  <c r="AO30" i="48" s="1"/>
  <c r="AR27" i="48"/>
  <c r="AB214" i="48"/>
  <c r="AD214" i="48" s="1"/>
  <c r="AB308" i="48"/>
  <c r="AD308" i="48" s="1"/>
  <c r="AO33" i="48"/>
  <c r="Z323" i="48"/>
  <c r="AM197" i="48"/>
  <c r="AO214" i="48"/>
  <c r="AO215" i="48" s="1"/>
  <c r="AM269" i="48"/>
  <c r="AO345" i="48"/>
  <c r="AB345" i="48"/>
  <c r="AM345" i="48"/>
  <c r="AM349" i="48" s="1"/>
  <c r="AM286" i="48"/>
  <c r="AA309" i="48"/>
  <c r="AM215" i="48"/>
  <c r="AM66" i="48"/>
  <c r="AB79" i="48"/>
  <c r="AM79" i="48"/>
  <c r="AM81" i="48" s="1"/>
  <c r="AM311" i="48"/>
  <c r="AM312" i="48" s="1"/>
  <c r="AO311" i="48"/>
  <c r="AB311" i="48"/>
  <c r="AD311" i="48" s="1"/>
  <c r="AM120" i="48"/>
  <c r="AM39" i="48"/>
  <c r="Z20" i="48"/>
  <c r="AB159" i="48"/>
  <c r="AM159" i="48"/>
  <c r="AM163" i="48" s="1"/>
  <c r="AM265" i="48"/>
  <c r="AM266" i="48" s="1"/>
  <c r="AB265" i="48"/>
  <c r="AD265" i="48" s="1"/>
  <c r="AB255" i="48"/>
  <c r="AM255" i="48"/>
  <c r="AM258" i="48" s="1"/>
  <c r="AB114" i="48"/>
  <c r="AD114" i="48" s="1"/>
  <c r="AO114" i="48"/>
  <c r="AM114" i="48"/>
  <c r="AM115" i="48" s="1"/>
  <c r="Z258" i="48"/>
  <c r="AM304" i="48"/>
  <c r="AB183" i="48"/>
  <c r="AM75" i="48"/>
  <c r="AM24" i="48"/>
  <c r="AP52" i="48"/>
  <c r="AP54" i="48" s="1"/>
  <c r="AM43" i="48"/>
  <c r="U370" i="48"/>
  <c r="AM183" i="48"/>
  <c r="AM200" i="48"/>
  <c r="AB200" i="48"/>
  <c r="AD200" i="48" s="1"/>
  <c r="AM356" i="48"/>
  <c r="AM360" i="48" s="1"/>
  <c r="AB356" i="48"/>
  <c r="Z167" i="48"/>
  <c r="Z120" i="48"/>
  <c r="AO247" i="48"/>
  <c r="AA251" i="48"/>
  <c r="AO208" i="48"/>
  <c r="AO209" i="48" s="1"/>
  <c r="AA209" i="48"/>
  <c r="AP346" i="48"/>
  <c r="Z63" i="48"/>
  <c r="AO292" i="48"/>
  <c r="AO296" i="48" s="1"/>
  <c r="AA296" i="48"/>
  <c r="AA220" i="48"/>
  <c r="AO216" i="48"/>
  <c r="AO220" i="48" s="1"/>
  <c r="AO12" i="48"/>
  <c r="AA13" i="48"/>
  <c r="AA379" i="48"/>
  <c r="AO249" i="48"/>
  <c r="Z78" i="48"/>
  <c r="Z39" i="48"/>
  <c r="AA91" i="48"/>
  <c r="AO90" i="48"/>
  <c r="AO91" i="48" s="1"/>
  <c r="Z207" i="48"/>
  <c r="AO103" i="48"/>
  <c r="AO64" i="48"/>
  <c r="AO66" i="48" s="1"/>
  <c r="AA66" i="48"/>
  <c r="Z365" i="48"/>
  <c r="AO324" i="48"/>
  <c r="AA328" i="48"/>
  <c r="AP301" i="48"/>
  <c r="AA269" i="48"/>
  <c r="AO267" i="48"/>
  <c r="AO269" i="48" s="1"/>
  <c r="Z86" i="48"/>
  <c r="AP49" i="48"/>
  <c r="AM48" i="48"/>
  <c r="AO73" i="48"/>
  <c r="AO75" i="48" s="1"/>
  <c r="AA75" i="48"/>
  <c r="AM153" i="48"/>
  <c r="AM158" i="48" s="1"/>
  <c r="AB153" i="48"/>
  <c r="AP67" i="48"/>
  <c r="AO319" i="48"/>
  <c r="AA323" i="48"/>
  <c r="AP116" i="48"/>
  <c r="AO166" i="48"/>
  <c r="AM104" i="48"/>
  <c r="AP57" i="48"/>
  <c r="AP60" i="48" s="1"/>
  <c r="Z60" i="48"/>
  <c r="AA33" i="48"/>
  <c r="Z360" i="48"/>
  <c r="AA312" i="48"/>
  <c r="AO310" i="48"/>
  <c r="AO156" i="48"/>
  <c r="AP37" i="48"/>
  <c r="AP39" i="48" s="1"/>
  <c r="Z33" i="48"/>
  <c r="AR376" i="48"/>
  <c r="Z223" i="48"/>
  <c r="AO307" i="48"/>
  <c r="AP259" i="48"/>
  <c r="AP260" i="48" s="1"/>
  <c r="AM152" i="48"/>
  <c r="Z260" i="48"/>
  <c r="AA372" i="48"/>
  <c r="Z69" i="48"/>
  <c r="AM56" i="48"/>
  <c r="Z334" i="48"/>
  <c r="AP18" i="48"/>
  <c r="AP20" i="48" s="1"/>
  <c r="AP319" i="48"/>
  <c r="AP323" i="48" s="1"/>
  <c r="AP188" i="48"/>
  <c r="AP192" i="48" s="1"/>
  <c r="AP136" i="48"/>
  <c r="AP141" i="48" s="1"/>
  <c r="AP247" i="48"/>
  <c r="AP251" i="48" s="1"/>
  <c r="AP310" i="48"/>
  <c r="AP92" i="48"/>
  <c r="AP94" i="48" s="1"/>
  <c r="AM207" i="48"/>
  <c r="AM372" i="48"/>
  <c r="AA69" i="48"/>
  <c r="AO67" i="48"/>
  <c r="AP270" i="48"/>
  <c r="AP276" i="48" s="1"/>
  <c r="AO248" i="48"/>
  <c r="AP131" i="48"/>
  <c r="AP135" i="48" s="1"/>
  <c r="AP99" i="48"/>
  <c r="AO346" i="48"/>
  <c r="AA349" i="48"/>
  <c r="AA373" i="48"/>
  <c r="AM277" i="48"/>
  <c r="AM280" i="48" s="1"/>
  <c r="AB277" i="48"/>
  <c r="AO95" i="48"/>
  <c r="AO98" i="48" s="1"/>
  <c r="AA98" i="48"/>
  <c r="Z13" i="48"/>
  <c r="Z379" i="48"/>
  <c r="AP168" i="48"/>
  <c r="AP172" i="48" s="1"/>
  <c r="Z276" i="48"/>
  <c r="Z152" i="48"/>
  <c r="Z66" i="48"/>
  <c r="AO147" i="48"/>
  <c r="AO152" i="48" s="1"/>
  <c r="AA152" i="48"/>
  <c r="AR371" i="48"/>
  <c r="AP297" i="48"/>
  <c r="AP299" i="48" s="1"/>
  <c r="AR241" i="48"/>
  <c r="AR378" i="48"/>
  <c r="AP261" i="48"/>
  <c r="AP263" i="48" s="1"/>
  <c r="AP126" i="48"/>
  <c r="AP130" i="48" s="1"/>
  <c r="AA27" i="48"/>
  <c r="AO25" i="48"/>
  <c r="AO27" i="48" s="1"/>
  <c r="Z349" i="48"/>
  <c r="Z27" i="48"/>
  <c r="AO283" i="48"/>
  <c r="AO164" i="48"/>
  <c r="AA167" i="48"/>
  <c r="AP109" i="48"/>
  <c r="AB378" i="48"/>
  <c r="AM41" i="48"/>
  <c r="AM335" i="48"/>
  <c r="AM339" i="48" s="1"/>
  <c r="AB335" i="48"/>
  <c r="AA318" i="48"/>
  <c r="AO313" i="48"/>
  <c r="Z239" i="48"/>
  <c r="AO155" i="48"/>
  <c r="AO99" i="48"/>
  <c r="AA104" i="48"/>
  <c r="AO85" i="48"/>
  <c r="AM85" i="48"/>
  <c r="AM86" i="48" s="1"/>
  <c r="AB85" i="48"/>
  <c r="AD85" i="48" s="1"/>
  <c r="AP21" i="48"/>
  <c r="AP24" i="48" s="1"/>
  <c r="Z246" i="48"/>
  <c r="AO165" i="48"/>
  <c r="U376" i="48"/>
  <c r="AP147" i="48"/>
  <c r="AP152" i="48" s="1"/>
  <c r="AP216" i="48"/>
  <c r="AP220" i="48" s="1"/>
  <c r="Z43" i="48"/>
  <c r="AP178" i="48"/>
  <c r="AO142" i="48"/>
  <c r="AO49" i="48"/>
  <c r="AA51" i="48"/>
  <c r="AA63" i="48"/>
  <c r="AO61" i="48"/>
  <c r="Z299" i="48"/>
  <c r="AM135" i="48"/>
  <c r="AM60" i="48"/>
  <c r="AA24" i="48"/>
  <c r="AO21" i="48"/>
  <c r="AO24" i="48" s="1"/>
  <c r="Z263" i="48"/>
  <c r="Z228" i="48"/>
  <c r="Z54" i="48"/>
  <c r="AM361" i="48"/>
  <c r="AM362" i="48" s="1"/>
  <c r="AB361" i="48"/>
  <c r="AA94" i="48"/>
  <c r="AO92" i="48"/>
  <c r="AM98" i="48"/>
  <c r="AO84" i="48"/>
  <c r="AP40" i="48"/>
  <c r="AP221" i="48"/>
  <c r="AA115" i="48"/>
  <c r="AO111" i="48"/>
  <c r="AR373" i="48"/>
  <c r="AP44" i="48"/>
  <c r="AP45" i="48" s="1"/>
  <c r="Z91" i="48"/>
  <c r="AO240" i="48"/>
  <c r="AO241" i="48" s="1"/>
  <c r="AA241" i="48"/>
  <c r="AO181" i="48"/>
  <c r="AM181" i="48"/>
  <c r="AB181" i="48"/>
  <c r="AD181" i="48" s="1"/>
  <c r="AA130" i="48"/>
  <c r="AO126" i="48"/>
  <c r="AM27" i="48"/>
  <c r="AA56" i="48"/>
  <c r="AO55" i="48"/>
  <c r="AO56" i="48" s="1"/>
  <c r="AP14" i="48"/>
  <c r="Z318" i="48"/>
  <c r="AO225" i="48"/>
  <c r="Z125" i="48"/>
  <c r="AO222" i="48"/>
  <c r="Z177" i="48"/>
  <c r="AM20" i="48"/>
  <c r="AP46" i="48"/>
  <c r="AP48" i="48" s="1"/>
  <c r="Z215" i="48"/>
  <c r="AP210" i="48"/>
  <c r="AP212" i="48" s="1"/>
  <c r="AA39" i="48"/>
  <c r="AO37" i="48"/>
  <c r="AO39" i="48" s="1"/>
  <c r="Z286" i="48"/>
  <c r="AO242" i="48"/>
  <c r="AO246" i="48" s="1"/>
  <c r="AA246" i="48"/>
  <c r="AA187" i="48"/>
  <c r="AO183" i="48"/>
  <c r="Z24" i="48"/>
  <c r="AA239" i="48"/>
  <c r="AO233" i="48"/>
  <c r="AO239" i="48" s="1"/>
  <c r="Z241" i="48"/>
  <c r="Z378" i="48"/>
  <c r="AP142" i="48"/>
  <c r="AP73" i="48"/>
  <c r="AP75" i="48" s="1"/>
  <c r="AA83" i="48"/>
  <c r="AO82" i="48"/>
  <c r="AO83" i="48" s="1"/>
  <c r="AO193" i="48"/>
  <c r="AO197" i="48" s="1"/>
  <c r="AA197" i="48"/>
  <c r="AN373" i="48"/>
  <c r="AN246" i="48"/>
  <c r="AN172" i="48"/>
  <c r="Z251" i="48"/>
  <c r="AM51" i="48"/>
  <c r="Z36" i="48"/>
  <c r="AP324" i="48"/>
  <c r="AP328" i="48" s="1"/>
  <c r="AM229" i="48"/>
  <c r="AM232" i="48" s="1"/>
  <c r="AB229" i="48"/>
  <c r="AP164" i="48"/>
  <c r="AP167" i="48" s="1"/>
  <c r="AO351" i="48"/>
  <c r="AM351" i="48"/>
  <c r="AB351" i="48"/>
  <c r="AD351" i="48" s="1"/>
  <c r="Z141" i="48"/>
  <c r="AA344" i="48"/>
  <c r="AM350" i="48"/>
  <c r="AB350" i="48"/>
  <c r="AO270" i="48"/>
  <c r="AO276" i="48" s="1"/>
  <c r="AA276" i="48"/>
  <c r="AO131" i="48"/>
  <c r="AO135" i="48" s="1"/>
  <c r="AA135" i="48"/>
  <c r="AA60" i="48"/>
  <c r="AO57" i="48"/>
  <c r="AO60" i="48" s="1"/>
  <c r="AO320" i="48"/>
  <c r="AP208" i="48"/>
  <c r="AP209" i="48" s="1"/>
  <c r="Z312" i="48"/>
  <c r="AM223" i="48"/>
  <c r="AM212" i="48"/>
  <c r="Z17" i="48"/>
  <c r="AM172" i="48"/>
  <c r="Y369" i="48"/>
  <c r="AN110" i="48"/>
  <c r="AP242" i="48"/>
  <c r="AP246" i="48" s="1"/>
  <c r="AA304" i="48"/>
  <c r="AP287" i="48"/>
  <c r="AP291" i="48" s="1"/>
  <c r="AP233" i="48"/>
  <c r="AP239" i="48" s="1"/>
  <c r="Z104" i="48"/>
  <c r="Z110" i="48"/>
  <c r="AA260" i="48"/>
  <c r="AO259" i="48"/>
  <c r="AO260" i="48" s="1"/>
  <c r="U371" i="48"/>
  <c r="AO224" i="48"/>
  <c r="AA228" i="48"/>
  <c r="AM299" i="48"/>
  <c r="AP240" i="48"/>
  <c r="AP241" i="48" s="1"/>
  <c r="AM263" i="48"/>
  <c r="AP55" i="48"/>
  <c r="AP56" i="48" s="1"/>
  <c r="AA17" i="48"/>
  <c r="AO14" i="48"/>
  <c r="AP12" i="48"/>
  <c r="AB379" i="48"/>
  <c r="AP225" i="48"/>
  <c r="AM141" i="48"/>
  <c r="AA20" i="48"/>
  <c r="AO18" i="48"/>
  <c r="AO20" i="48" s="1"/>
  <c r="AP173" i="48"/>
  <c r="AP177" i="48" s="1"/>
  <c r="AA286" i="48"/>
  <c r="AO281" i="48"/>
  <c r="Z172" i="48"/>
  <c r="Z45" i="48"/>
  <c r="AM323" i="48"/>
  <c r="AA120" i="48"/>
  <c r="AO116" i="48"/>
  <c r="AP84" i="48"/>
  <c r="AM328" i="48"/>
  <c r="AO46" i="48"/>
  <c r="AA48" i="48"/>
  <c r="AO329" i="48"/>
  <c r="AO334" i="48" s="1"/>
  <c r="AA334" i="48"/>
  <c r="AP281" i="48"/>
  <c r="AP286" i="48" s="1"/>
  <c r="AA177" i="48"/>
  <c r="AO173" i="48"/>
  <c r="AO177" i="48" s="1"/>
  <c r="AO109" i="48"/>
  <c r="AA378" i="48"/>
  <c r="AP61" i="48"/>
  <c r="AM146" i="48"/>
  <c r="AO157" i="48"/>
  <c r="AO89" i="48"/>
  <c r="AO344" i="48"/>
  <c r="AM192" i="48"/>
  <c r="Z98" i="48"/>
  <c r="AP193" i="48"/>
  <c r="AP197" i="48" s="1"/>
  <c r="Z75" i="48"/>
  <c r="AO317" i="48"/>
  <c r="AA212" i="48"/>
  <c r="AO210" i="48"/>
  <c r="AO212" i="48" s="1"/>
  <c r="AO186" i="48"/>
  <c r="AP95" i="48"/>
  <c r="AP98" i="48" s="1"/>
  <c r="AA215" i="48"/>
  <c r="AO168" i="48"/>
  <c r="AA172" i="48"/>
  <c r="AN24" i="48"/>
  <c r="AO304" i="48"/>
  <c r="AO121" i="48"/>
  <c r="AO125" i="48" s="1"/>
  <c r="AA125" i="48"/>
  <c r="AR13" i="48"/>
  <c r="AR379" i="48"/>
  <c r="AP100" i="48"/>
  <c r="AM45" i="48"/>
  <c r="AO252" i="48"/>
  <c r="AO254" i="48" s="1"/>
  <c r="AA254" i="48"/>
  <c r="AA299" i="48"/>
  <c r="AO297" i="48"/>
  <c r="AO299" i="48" s="1"/>
  <c r="AM220" i="48"/>
  <c r="AO261" i="48"/>
  <c r="AO263" i="48" s="1"/>
  <c r="AA263" i="48"/>
  <c r="Z135" i="48"/>
  <c r="AP25" i="48"/>
  <c r="AP27" i="48" s="1"/>
  <c r="AP341" i="48"/>
  <c r="AP344" i="48" s="1"/>
  <c r="AP76" i="48"/>
  <c r="U377" i="48"/>
  <c r="Z48" i="48"/>
  <c r="AM70" i="48"/>
  <c r="AM72" i="48" s="1"/>
  <c r="AB70" i="48"/>
  <c r="AP64" i="48"/>
  <c r="AP66" i="48" s="1"/>
  <c r="AP28" i="48"/>
  <c r="AP30" i="48" s="1"/>
  <c r="Z344" i="48"/>
  <c r="AA291" i="48"/>
  <c r="AO287" i="48"/>
  <c r="AO291" i="48" s="1"/>
  <c r="Z41" i="48"/>
  <c r="AR370" i="48"/>
  <c r="AR17" i="48"/>
  <c r="AO100" i="48"/>
  <c r="AP267" i="48"/>
  <c r="AP269" i="48" s="1"/>
  <c r="Z220" i="48"/>
  <c r="AA182" i="48"/>
  <c r="AO178" i="48"/>
  <c r="AM167" i="48"/>
  <c r="AA89" i="48"/>
  <c r="AO47" i="48"/>
  <c r="AA192" i="48"/>
  <c r="AO188" i="48"/>
  <c r="AO192" i="48" s="1"/>
  <c r="Z89" i="48"/>
  <c r="AO316" i="48"/>
  <c r="AM251" i="48"/>
  <c r="Z328" i="48"/>
  <c r="Z182" i="48"/>
  <c r="AN104" i="48"/>
  <c r="AN371" i="48"/>
  <c r="AO40" i="48"/>
  <c r="AM246" i="48"/>
  <c r="AM291" i="48"/>
  <c r="AA223" i="48"/>
  <c r="AO221" i="48"/>
  <c r="AM239" i="48"/>
  <c r="Z192" i="48"/>
  <c r="AP111" i="48"/>
  <c r="AK369" i="48"/>
  <c r="AA45" i="48"/>
  <c r="AO44" i="48"/>
  <c r="AO45" i="48" s="1"/>
  <c r="Z94" i="48"/>
  <c r="Z51" i="48"/>
  <c r="AM13" i="48"/>
  <c r="AM379" i="48"/>
  <c r="AM344" i="48"/>
  <c r="AP90" i="48"/>
  <c r="AP91" i="48" s="1"/>
  <c r="AO76" i="48"/>
  <c r="AA78" i="48"/>
  <c r="AA141" i="48"/>
  <c r="AO136" i="48"/>
  <c r="AO141" i="48" s="1"/>
  <c r="AP103" i="48"/>
  <c r="AD24" i="48" l="1"/>
  <c r="AD299" i="48"/>
  <c r="AD269" i="48"/>
  <c r="AD54" i="48"/>
  <c r="AD30" i="48"/>
  <c r="AD344" i="48"/>
  <c r="AD309" i="48"/>
  <c r="AD89" i="48"/>
  <c r="AD141" i="48"/>
  <c r="AB312" i="48"/>
  <c r="AD33" i="48"/>
  <c r="AB86" i="48"/>
  <c r="AD27" i="48"/>
  <c r="AD266" i="48"/>
  <c r="AD104" i="48"/>
  <c r="AD202" i="48"/>
  <c r="AD356" i="48"/>
  <c r="AD360" i="48" s="1"/>
  <c r="AB360" i="48"/>
  <c r="AD183" i="48"/>
  <c r="AD187" i="48" s="1"/>
  <c r="AB187" i="48"/>
  <c r="AD252" i="48"/>
  <c r="AD254" i="48" s="1"/>
  <c r="AB254" i="48"/>
  <c r="AL237" i="48"/>
  <c r="AL219" i="48"/>
  <c r="AD120" i="48"/>
  <c r="AD177" i="48"/>
  <c r="AD323" i="48"/>
  <c r="AD39" i="48"/>
  <c r="AD167" i="48"/>
  <c r="AD78" i="48"/>
  <c r="AD304" i="48"/>
  <c r="AD215" i="48"/>
  <c r="AB266" i="48"/>
  <c r="AD105" i="48"/>
  <c r="AD110" i="48" s="1"/>
  <c r="AB110" i="48"/>
  <c r="AD75" i="48"/>
  <c r="AD263" i="48"/>
  <c r="AD63" i="48"/>
  <c r="AD246" i="48"/>
  <c r="AD70" i="48"/>
  <c r="AD72" i="48" s="1"/>
  <c r="AB72" i="48"/>
  <c r="AD255" i="48"/>
  <c r="AD258" i="48" s="1"/>
  <c r="AB258" i="48"/>
  <c r="AD79" i="48"/>
  <c r="AD81" i="48" s="1"/>
  <c r="AB81" i="48"/>
  <c r="AD345" i="48"/>
  <c r="AD349" i="48" s="1"/>
  <c r="AB349" i="48"/>
  <c r="AD98" i="48"/>
  <c r="AD328" i="48"/>
  <c r="AD130" i="48"/>
  <c r="AD135" i="48"/>
  <c r="AD69" i="48"/>
  <c r="AD20" i="48"/>
  <c r="AD51" i="48"/>
  <c r="AD223" i="48"/>
  <c r="AD121" i="48"/>
  <c r="AD125" i="48" s="1"/>
  <c r="AB125" i="48"/>
  <c r="AD350" i="48"/>
  <c r="AD355" i="48" s="1"/>
  <c r="AB355" i="48"/>
  <c r="AD361" i="48"/>
  <c r="AD362" i="48" s="1"/>
  <c r="AB362" i="48"/>
  <c r="AD277" i="48"/>
  <c r="AD280" i="48" s="1"/>
  <c r="AB280" i="48"/>
  <c r="AP304" i="48"/>
  <c r="AD224" i="48"/>
  <c r="AD228" i="48" s="1"/>
  <c r="AB228" i="48"/>
  <c r="AD82" i="48"/>
  <c r="AD83" i="48" s="1"/>
  <c r="AB83" i="48"/>
  <c r="AD329" i="48"/>
  <c r="AD334" i="48" s="1"/>
  <c r="AB334" i="48"/>
  <c r="AD203" i="48"/>
  <c r="AD207" i="48" s="1"/>
  <c r="AB207" i="48"/>
  <c r="AD291" i="48"/>
  <c r="AD60" i="48"/>
  <c r="AD17" i="48"/>
  <c r="AD197" i="48"/>
  <c r="AD182" i="48"/>
  <c r="AD66" i="48"/>
  <c r="AD251" i="48"/>
  <c r="AD146" i="48"/>
  <c r="AD172" i="48"/>
  <c r="AB120" i="48"/>
  <c r="AB202" i="48"/>
  <c r="AD153" i="48"/>
  <c r="AD158" i="48" s="1"/>
  <c r="AB158" i="48"/>
  <c r="AD313" i="48"/>
  <c r="AD318" i="48" s="1"/>
  <c r="AB318" i="48"/>
  <c r="AL166" i="48"/>
  <c r="AD152" i="48"/>
  <c r="AD192" i="48"/>
  <c r="AD239" i="48"/>
  <c r="AD312" i="48"/>
  <c r="AD48" i="48"/>
  <c r="AB115" i="48"/>
  <c r="AB69" i="48"/>
  <c r="AB215" i="48"/>
  <c r="AD159" i="48"/>
  <c r="AD163" i="48" s="1"/>
  <c r="AB163" i="48"/>
  <c r="AD229" i="48"/>
  <c r="AD232" i="48" s="1"/>
  <c r="AB232" i="48"/>
  <c r="AD335" i="48"/>
  <c r="AD339" i="48" s="1"/>
  <c r="AB339" i="48"/>
  <c r="AD292" i="48"/>
  <c r="AD296" i="48" s="1"/>
  <c r="AB296" i="48"/>
  <c r="AD34" i="48"/>
  <c r="AD36" i="48" s="1"/>
  <c r="AB36" i="48"/>
  <c r="AL305" i="48"/>
  <c r="AD286" i="48"/>
  <c r="AD86" i="48"/>
  <c r="AD94" i="48"/>
  <c r="AD220" i="48"/>
  <c r="AD115" i="48"/>
  <c r="AD276" i="48"/>
  <c r="AD365" i="48"/>
  <c r="AD212" i="48"/>
  <c r="AB182" i="48"/>
  <c r="AB309" i="48"/>
  <c r="AB17" i="48"/>
  <c r="AL218" i="48"/>
  <c r="AL113" i="48"/>
  <c r="AL303" i="48"/>
  <c r="AL19" i="48"/>
  <c r="AL243" i="48"/>
  <c r="AL145" i="48"/>
  <c r="AL342" i="48"/>
  <c r="AL315" i="48"/>
  <c r="AL170" i="48"/>
  <c r="AL300" i="48"/>
  <c r="AL96" i="48"/>
  <c r="AL337" i="48"/>
  <c r="AL234" i="48"/>
  <c r="AL124" i="48"/>
  <c r="AL285" i="48"/>
  <c r="AL307" i="48"/>
  <c r="AL257" i="48"/>
  <c r="AL343" i="48"/>
  <c r="AL275" i="48"/>
  <c r="AL353" i="48"/>
  <c r="AL238" i="48"/>
  <c r="AL22" i="48"/>
  <c r="AL333" i="48"/>
  <c r="AL283" i="48"/>
  <c r="AL278" i="48"/>
  <c r="AL12" i="48"/>
  <c r="AL294" i="48"/>
  <c r="AL26" i="48"/>
  <c r="AL47" i="48"/>
  <c r="AL133" i="48"/>
  <c r="AL138" i="48"/>
  <c r="AL250" i="48"/>
  <c r="AL274" i="48"/>
  <c r="AL327" i="48"/>
  <c r="AL134" i="48"/>
  <c r="AL290" i="48"/>
  <c r="AL50" i="48"/>
  <c r="AL148" i="48"/>
  <c r="AL175" i="48"/>
  <c r="AL295" i="48"/>
  <c r="AL357" i="48"/>
  <c r="AL58" i="48"/>
  <c r="AL325" i="48"/>
  <c r="AL38" i="48"/>
  <c r="AL35" i="48"/>
  <c r="AL227" i="48"/>
  <c r="AL348" i="48"/>
  <c r="AL205" i="48"/>
  <c r="AL231" i="48"/>
  <c r="AL107" i="48"/>
  <c r="AL204" i="48"/>
  <c r="AL326" i="48"/>
  <c r="AL268" i="48"/>
  <c r="AL271" i="48"/>
  <c r="AL126" i="48"/>
  <c r="AL322" i="48"/>
  <c r="AL150" i="48"/>
  <c r="AL354" i="48"/>
  <c r="AL59" i="48"/>
  <c r="AL157" i="48"/>
  <c r="AL139" i="48"/>
  <c r="AL293" i="48"/>
  <c r="AL346" i="48"/>
  <c r="AL29" i="48"/>
  <c r="AL144" i="48"/>
  <c r="AL206" i="48"/>
  <c r="AL341" i="48"/>
  <c r="AL321" i="48"/>
  <c r="AL211" i="48"/>
  <c r="AL80" i="48"/>
  <c r="AL262" i="48"/>
  <c r="AL347" i="48"/>
  <c r="AL156" i="48"/>
  <c r="AL176" i="48"/>
  <c r="AL253" i="48"/>
  <c r="AL320" i="48"/>
  <c r="AL245" i="48"/>
  <c r="AL301" i="48"/>
  <c r="AL180" i="48"/>
  <c r="AL338" i="48"/>
  <c r="AL161" i="48"/>
  <c r="AL364" i="48"/>
  <c r="AL169" i="48"/>
  <c r="AL298" i="48"/>
  <c r="AL186" i="48"/>
  <c r="AL230" i="48"/>
  <c r="AL332" i="48"/>
  <c r="AL225" i="48"/>
  <c r="AL140" i="48"/>
  <c r="AL317" i="48"/>
  <c r="AL244" i="48"/>
  <c r="AL129" i="48"/>
  <c r="AL130" i="48" s="1"/>
  <c r="AL273" i="48"/>
  <c r="AL195" i="48"/>
  <c r="AL108" i="48"/>
  <c r="AL191" i="48"/>
  <c r="AL289" i="48"/>
  <c r="AL77" i="48"/>
  <c r="AL236" i="48"/>
  <c r="AL97" i="48"/>
  <c r="AL336" i="48"/>
  <c r="AL279" i="48"/>
  <c r="AL316" i="48"/>
  <c r="AL151" i="48"/>
  <c r="AL302" i="48"/>
  <c r="AL201" i="48"/>
  <c r="AL264" i="48"/>
  <c r="AL46" i="48"/>
  <c r="AL340" i="48"/>
  <c r="AL32" i="48"/>
  <c r="AL92" i="48"/>
  <c r="AL210" i="48"/>
  <c r="AL23" i="48"/>
  <c r="AL65" i="48"/>
  <c r="AL88" i="48"/>
  <c r="AL68" i="48"/>
  <c r="AN366" i="48"/>
  <c r="AG13" i="47" s="1"/>
  <c r="AR366" i="48"/>
  <c r="AK13" i="47" s="1"/>
  <c r="U366" i="48"/>
  <c r="AO120" i="48"/>
  <c r="AB373" i="48"/>
  <c r="AO349" i="48"/>
  <c r="AO115" i="48"/>
  <c r="AM187" i="48"/>
  <c r="AO51" i="48"/>
  <c r="AO172" i="48"/>
  <c r="AB372" i="48"/>
  <c r="AP203" i="48"/>
  <c r="AP372" i="48" s="1"/>
  <c r="AP313" i="48"/>
  <c r="AP318" i="48" s="1"/>
  <c r="AO94" i="48"/>
  <c r="AO182" i="48"/>
  <c r="AO312" i="48"/>
  <c r="AP224" i="48"/>
  <c r="AP228" i="48" s="1"/>
  <c r="AO78" i="48"/>
  <c r="AP85" i="48"/>
  <c r="AP86" i="48" s="1"/>
  <c r="AL85" i="48"/>
  <c r="AP214" i="48"/>
  <c r="AP215" i="48" s="1"/>
  <c r="AL214" i="48"/>
  <c r="AP121" i="48"/>
  <c r="AP125" i="48" s="1"/>
  <c r="AL183" i="48"/>
  <c r="AP114" i="48"/>
  <c r="AP115" i="48" s="1"/>
  <c r="AL114" i="48"/>
  <c r="AP351" i="48"/>
  <c r="AL351" i="48"/>
  <c r="AP155" i="48"/>
  <c r="AL155" i="48"/>
  <c r="AP51" i="48"/>
  <c r="AP181" i="48"/>
  <c r="AP182" i="48" s="1"/>
  <c r="AL181" i="48"/>
  <c r="AP356" i="48"/>
  <c r="AP360" i="48" s="1"/>
  <c r="AP345" i="48"/>
  <c r="AP349" i="48" s="1"/>
  <c r="AP308" i="48"/>
  <c r="AP309" i="48" s="1"/>
  <c r="AL308" i="48"/>
  <c r="AP329" i="48"/>
  <c r="AP334" i="48" s="1"/>
  <c r="AP223" i="48"/>
  <c r="AP41" i="48"/>
  <c r="AP68" i="48"/>
  <c r="AP69" i="48" s="1"/>
  <c r="AP63" i="48"/>
  <c r="AP146" i="48"/>
  <c r="AP78" i="48"/>
  <c r="AP311" i="48"/>
  <c r="AP312" i="48" s="1"/>
  <c r="AL311" i="48"/>
  <c r="AP15" i="48"/>
  <c r="AP17" i="48" s="1"/>
  <c r="AL15" i="48"/>
  <c r="AP119" i="48"/>
  <c r="AP120" i="48" s="1"/>
  <c r="AL119" i="48"/>
  <c r="AO69" i="48"/>
  <c r="AN369" i="48"/>
  <c r="AO309" i="48"/>
  <c r="AO130" i="48"/>
  <c r="AO223" i="48"/>
  <c r="AO63" i="48"/>
  <c r="AM377" i="48"/>
  <c r="AL62" i="48"/>
  <c r="AO203" i="48"/>
  <c r="AO207" i="48" s="1"/>
  <c r="AA207" i="48"/>
  <c r="AP292" i="48"/>
  <c r="AP296" i="48" s="1"/>
  <c r="AP252" i="48"/>
  <c r="AP254" i="48" s="1"/>
  <c r="AL93" i="48"/>
  <c r="AA110" i="48"/>
  <c r="AP105" i="48"/>
  <c r="AP110" i="48" s="1"/>
  <c r="AL198" i="48"/>
  <c r="AP82" i="48"/>
  <c r="AP83" i="48" s="1"/>
  <c r="AL18" i="48"/>
  <c r="AA30" i="48"/>
  <c r="AM202" i="48"/>
  <c r="AA36" i="48"/>
  <c r="AO34" i="48"/>
  <c r="AO36" i="48" s="1"/>
  <c r="AP34" i="48"/>
  <c r="AP36" i="48" s="1"/>
  <c r="AL319" i="48"/>
  <c r="Z372" i="48"/>
  <c r="Z197" i="48"/>
  <c r="AP183" i="48"/>
  <c r="AP187" i="48" s="1"/>
  <c r="AA86" i="48"/>
  <c r="AM371" i="48"/>
  <c r="Z377" i="48"/>
  <c r="Z291" i="48"/>
  <c r="AA371" i="48"/>
  <c r="Z376" i="48"/>
  <c r="S33" i="47" s="1"/>
  <c r="Z269" i="48"/>
  <c r="U369" i="48"/>
  <c r="Z368" i="48" s="1"/>
  <c r="Z81" i="48"/>
  <c r="AA163" i="48"/>
  <c r="AO159" i="48"/>
  <c r="AO163" i="48" s="1"/>
  <c r="AA370" i="48"/>
  <c r="Z163" i="48"/>
  <c r="AO286" i="48"/>
  <c r="AO323" i="48"/>
  <c r="AA360" i="48"/>
  <c r="AO356" i="48"/>
  <c r="AO360" i="48" s="1"/>
  <c r="AA258" i="48"/>
  <c r="AO255" i="48"/>
  <c r="AO258" i="48" s="1"/>
  <c r="AL165" i="48"/>
  <c r="AP255" i="48"/>
  <c r="AP258" i="48" s="1"/>
  <c r="AA81" i="48"/>
  <c r="AO79" i="48"/>
  <c r="AO81" i="48" s="1"/>
  <c r="Z266" i="48"/>
  <c r="AP159" i="48"/>
  <c r="AP163" i="48" s="1"/>
  <c r="Z83" i="48"/>
  <c r="AM376" i="48"/>
  <c r="AP200" i="48"/>
  <c r="AP202" i="48" s="1"/>
  <c r="Z202" i="48"/>
  <c r="AP265" i="48"/>
  <c r="AP266" i="48" s="1"/>
  <c r="AO48" i="48"/>
  <c r="Z370" i="48"/>
  <c r="AO86" i="48"/>
  <c r="AP43" i="48"/>
  <c r="AO265" i="48"/>
  <c r="AO266" i="48" s="1"/>
  <c r="AA266" i="48"/>
  <c r="AB377" i="48"/>
  <c r="AO200" i="48"/>
  <c r="AO202" i="48" s="1"/>
  <c r="AA202" i="48"/>
  <c r="AO43" i="48"/>
  <c r="AA43" i="48"/>
  <c r="AP79" i="48"/>
  <c r="AP81" i="48" s="1"/>
  <c r="AL147" i="48"/>
  <c r="AL73" i="48"/>
  <c r="AL75" i="48" s="1"/>
  <c r="AP350" i="48"/>
  <c r="AL287" i="48"/>
  <c r="AL242" i="48"/>
  <c r="AO104" i="48"/>
  <c r="AP335" i="48"/>
  <c r="AP339" i="48" s="1"/>
  <c r="AD379" i="48"/>
  <c r="Z232" i="48"/>
  <c r="AL76" i="48"/>
  <c r="AA41" i="48"/>
  <c r="AL324" i="48"/>
  <c r="AB371" i="48"/>
  <c r="AM355" i="48"/>
  <c r="AL21" i="48"/>
  <c r="AL52" i="48"/>
  <c r="AL54" i="48" s="1"/>
  <c r="Z158" i="48"/>
  <c r="AM373" i="48"/>
  <c r="AP277" i="48"/>
  <c r="AP280" i="48" s="1"/>
  <c r="AL259" i="48"/>
  <c r="AL260" i="48" s="1"/>
  <c r="AL57" i="48"/>
  <c r="AL14" i="48"/>
  <c r="AL281" i="48"/>
  <c r="AL267" i="48"/>
  <c r="AO41" i="48"/>
  <c r="Z362" i="48"/>
  <c r="AL87" i="48"/>
  <c r="AL216" i="48"/>
  <c r="AL221" i="48"/>
  <c r="AR369" i="48"/>
  <c r="AL164" i="48"/>
  <c r="AM182" i="48"/>
  <c r="AO17" i="48"/>
  <c r="AL173" i="48"/>
  <c r="AP361" i="48"/>
  <c r="AP362" i="48" s="1"/>
  <c r="AA146" i="48"/>
  <c r="AP378" i="48"/>
  <c r="AL270" i="48"/>
  <c r="AP104" i="48"/>
  <c r="AO110" i="48"/>
  <c r="AP153" i="48"/>
  <c r="AL363" i="48"/>
  <c r="AO377" i="48"/>
  <c r="AL31" i="48"/>
  <c r="AM370" i="48"/>
  <c r="AL131" i="48"/>
  <c r="AL193" i="48"/>
  <c r="AL197" i="48" s="1"/>
  <c r="AO350" i="48"/>
  <c r="AO355" i="48" s="1"/>
  <c r="AA355" i="48"/>
  <c r="AP229" i="48"/>
  <c r="AP232" i="48" s="1"/>
  <c r="AO187" i="48"/>
  <c r="AL261" i="48"/>
  <c r="AL263" i="48" s="1"/>
  <c r="AL64" i="48"/>
  <c r="AL142" i="48"/>
  <c r="AL95" i="48"/>
  <c r="AL109" i="48"/>
  <c r="AD378" i="48"/>
  <c r="AL44" i="48"/>
  <c r="AL45" i="48" s="1"/>
  <c r="AL240" i="48"/>
  <c r="AL241" i="48" s="1"/>
  <c r="AL313" i="48"/>
  <c r="Z146" i="48"/>
  <c r="AO146" i="48"/>
  <c r="AL208" i="48"/>
  <c r="AL209" i="48" s="1"/>
  <c r="AL233" i="48"/>
  <c r="AA280" i="48"/>
  <c r="AO277" i="48"/>
  <c r="AO280" i="48" s="1"/>
  <c r="AL84" i="48"/>
  <c r="AO13" i="48"/>
  <c r="AO379" i="48"/>
  <c r="AL178" i="48"/>
  <c r="Z339" i="48"/>
  <c r="AL100" i="48"/>
  <c r="AL213" i="48"/>
  <c r="AA339" i="48"/>
  <c r="AO335" i="48"/>
  <c r="AO339" i="48" s="1"/>
  <c r="AA377" i="48"/>
  <c r="AL116" i="48"/>
  <c r="AL188" i="48"/>
  <c r="AL40" i="48"/>
  <c r="AP70" i="48"/>
  <c r="AP72" i="48" s="1"/>
  <c r="AL168" i="48"/>
  <c r="AL103" i="48"/>
  <c r="AA232" i="48"/>
  <c r="AO229" i="48"/>
  <c r="AO232" i="48" s="1"/>
  <c r="Z280" i="48"/>
  <c r="Z373" i="48"/>
  <c r="AB370" i="48"/>
  <c r="AO318" i="48"/>
  <c r="AO167" i="48"/>
  <c r="AL25" i="48"/>
  <c r="AL27" i="48" s="1"/>
  <c r="Z56" i="48"/>
  <c r="AO153" i="48"/>
  <c r="AO158" i="48" s="1"/>
  <c r="AA158" i="48"/>
  <c r="AO251" i="48"/>
  <c r="Z115" i="48"/>
  <c r="Z371" i="48"/>
  <c r="AL99" i="48"/>
  <c r="Z72" i="48"/>
  <c r="AL90" i="48"/>
  <c r="AL91" i="48" s="1"/>
  <c r="AL67" i="48"/>
  <c r="AA72" i="48"/>
  <c r="AO70" i="48"/>
  <c r="AO72" i="48" s="1"/>
  <c r="AP13" i="48"/>
  <c r="AP379" i="48"/>
  <c r="AL49" i="48"/>
  <c r="AL37" i="48"/>
  <c r="AO378" i="48"/>
  <c r="AO228" i="48"/>
  <c r="AL310" i="48"/>
  <c r="AL136" i="48"/>
  <c r="AL247" i="48"/>
  <c r="AM78" i="48"/>
  <c r="AA362" i="48"/>
  <c r="AO361" i="48"/>
  <c r="AO362" i="48" s="1"/>
  <c r="AL297" i="48"/>
  <c r="AL42" i="48"/>
  <c r="AA376" i="48"/>
  <c r="AL55" i="48"/>
  <c r="AL56" i="48" s="1"/>
  <c r="AB376" i="48"/>
  <c r="AO328" i="48"/>
  <c r="AL61" i="48"/>
  <c r="AL350" i="48" l="1"/>
  <c r="AL39" i="48"/>
  <c r="AD372" i="48"/>
  <c r="AL252" i="48"/>
  <c r="AL254" i="48" s="1"/>
  <c r="AL203" i="48"/>
  <c r="AL207" i="48" s="1"/>
  <c r="AL251" i="48"/>
  <c r="AL192" i="48"/>
  <c r="AL98" i="48"/>
  <c r="AL48" i="48"/>
  <c r="AL318" i="48"/>
  <c r="AL365" i="48"/>
  <c r="AL304" i="48"/>
  <c r="AL269" i="48"/>
  <c r="AL159" i="48"/>
  <c r="AL163" i="48" s="1"/>
  <c r="AL105" i="48"/>
  <c r="AL110" i="48" s="1"/>
  <c r="AL60" i="48"/>
  <c r="AL291" i="48"/>
  <c r="AL212" i="48"/>
  <c r="AL172" i="48"/>
  <c r="AL135" i="48"/>
  <c r="AL344" i="48"/>
  <c r="AL309" i="48"/>
  <c r="AL276" i="48"/>
  <c r="AL177" i="48"/>
  <c r="AL286" i="48"/>
  <c r="AL220" i="48"/>
  <c r="AL328" i="48"/>
  <c r="AL323" i="48"/>
  <c r="AL141" i="48"/>
  <c r="AL152" i="48"/>
  <c r="AL20" i="48"/>
  <c r="AL239" i="48"/>
  <c r="AL299" i="48"/>
  <c r="AL246" i="48"/>
  <c r="AD366" i="48"/>
  <c r="N13" i="47"/>
  <c r="Z367" i="48"/>
  <c r="AL33" i="48"/>
  <c r="AL94" i="48"/>
  <c r="AL89" i="48"/>
  <c r="AL24" i="48"/>
  <c r="AL66" i="48"/>
  <c r="AL121" i="48"/>
  <c r="AL125" i="48" s="1"/>
  <c r="AM366" i="48"/>
  <c r="AO366" i="48"/>
  <c r="AH13" i="47" s="1"/>
  <c r="Z366" i="48"/>
  <c r="AA366" i="48"/>
  <c r="T13" i="47" s="1"/>
  <c r="AB366" i="48"/>
  <c r="U13" i="47" s="1"/>
  <c r="AP355" i="48"/>
  <c r="AL43" i="48"/>
  <c r="AP207" i="48"/>
  <c r="AL63" i="48"/>
  <c r="AL187" i="48"/>
  <c r="AO376" i="48"/>
  <c r="AL223" i="48"/>
  <c r="AP377" i="48"/>
  <c r="AL86" i="48"/>
  <c r="AL215" i="48"/>
  <c r="AP158" i="48"/>
  <c r="AL51" i="48"/>
  <c r="AL120" i="48"/>
  <c r="AP376" i="48"/>
  <c r="AL167" i="48"/>
  <c r="AL69" i="48"/>
  <c r="AL312" i="48"/>
  <c r="AM369" i="48"/>
  <c r="AO372" i="48"/>
  <c r="AL34" i="48"/>
  <c r="AL36" i="48" s="1"/>
  <c r="AL329" i="48"/>
  <c r="AL334" i="48" s="1"/>
  <c r="AL28" i="48"/>
  <c r="AL30" i="48" s="1"/>
  <c r="AL224" i="48"/>
  <c r="AL228" i="48" s="1"/>
  <c r="AL82" i="48"/>
  <c r="AL83" i="48" s="1"/>
  <c r="AL345" i="48"/>
  <c r="AL349" i="48" s="1"/>
  <c r="AL292" i="48"/>
  <c r="AL296" i="48" s="1"/>
  <c r="AL356" i="48"/>
  <c r="AL360" i="48" s="1"/>
  <c r="AA369" i="48"/>
  <c r="AL378" i="48"/>
  <c r="AP370" i="48"/>
  <c r="AD377" i="48"/>
  <c r="AL41" i="48"/>
  <c r="Z369" i="48"/>
  <c r="AL146" i="48"/>
  <c r="AD370" i="48"/>
  <c r="AO373" i="48"/>
  <c r="AL182" i="48"/>
  <c r="AL200" i="48"/>
  <c r="AL202" i="48" s="1"/>
  <c r="AL78" i="48"/>
  <c r="AD371" i="48"/>
  <c r="AL79" i="48"/>
  <c r="AL81" i="48" s="1"/>
  <c r="AL104" i="48"/>
  <c r="AL377" i="48"/>
  <c r="AL265" i="48"/>
  <c r="AL266" i="48" s="1"/>
  <c r="AB369" i="48"/>
  <c r="AL376" i="48"/>
  <c r="AO371" i="48"/>
  <c r="AL255" i="48"/>
  <c r="AL258" i="48" s="1"/>
  <c r="AL229" i="48"/>
  <c r="AL232" i="48" s="1"/>
  <c r="AL361" i="48"/>
  <c r="AL362" i="48" s="1"/>
  <c r="AL111" i="48"/>
  <c r="AL115" i="48" s="1"/>
  <c r="AL355" i="48"/>
  <c r="AL70" i="48"/>
  <c r="AL72" i="48" s="1"/>
  <c r="AL277" i="48"/>
  <c r="AD373" i="48"/>
  <c r="AL17" i="48"/>
  <c r="AL335" i="48"/>
  <c r="AL339" i="48" s="1"/>
  <c r="AL153" i="48"/>
  <c r="AL158" i="48" s="1"/>
  <c r="AP371" i="48"/>
  <c r="AO370" i="48"/>
  <c r="AL13" i="48"/>
  <c r="AL379" i="48"/>
  <c r="AP373" i="48"/>
  <c r="AD376" i="48"/>
  <c r="AL372" i="48" l="1"/>
  <c r="S13" i="47"/>
  <c r="AD367" i="48"/>
  <c r="AD368" i="48"/>
  <c r="AF13" i="47"/>
  <c r="AP366" i="48"/>
  <c r="AI13" i="47" s="1"/>
  <c r="W13" i="47"/>
  <c r="AO369" i="48"/>
  <c r="AP369" i="48"/>
  <c r="AD369" i="48"/>
  <c r="AL280" i="48"/>
  <c r="AL366" i="48" s="1"/>
  <c r="AE13" i="47" s="1"/>
  <c r="AL373" i="48"/>
  <c r="AL370" i="48"/>
  <c r="AL371" i="48"/>
  <c r="AL368" i="48" l="1"/>
  <c r="AL367" i="48"/>
  <c r="AL369" i="48"/>
  <c r="X102" i="44" l="1"/>
  <c r="W102" i="44"/>
  <c r="X97" i="44"/>
  <c r="W97" i="44"/>
  <c r="X89" i="44"/>
  <c r="W89" i="44"/>
  <c r="X87" i="44"/>
  <c r="W87" i="44"/>
  <c r="X81" i="44"/>
  <c r="W81" i="44"/>
  <c r="X79" i="44"/>
  <c r="W79" i="44"/>
  <c r="X76" i="44"/>
  <c r="W76" i="44"/>
  <c r="X71" i="44"/>
  <c r="W71" i="44"/>
  <c r="X68" i="44"/>
  <c r="W68" i="44"/>
  <c r="X65" i="44"/>
  <c r="W65" i="44"/>
  <c r="X60" i="44"/>
  <c r="W60" i="44"/>
  <c r="X55" i="44"/>
  <c r="W55" i="44"/>
  <c r="X49" i="44"/>
  <c r="W49" i="44"/>
  <c r="X44" i="44"/>
  <c r="W44" i="44"/>
  <c r="X39" i="44"/>
  <c r="W39" i="44"/>
  <c r="X34" i="44"/>
  <c r="W34" i="44"/>
  <c r="X29" i="44"/>
  <c r="W29" i="44"/>
  <c r="X24" i="44"/>
  <c r="W24" i="44"/>
  <c r="X16" i="44"/>
  <c r="W16" i="44"/>
  <c r="O82" i="44"/>
  <c r="U82" i="44" l="1"/>
  <c r="AM82" i="44" s="1"/>
  <c r="V103" i="44"/>
  <c r="O14" i="47" s="1"/>
  <c r="AE103" i="44"/>
  <c r="X14" i="47" s="1"/>
  <c r="W103" i="44"/>
  <c r="P14" i="47" s="1"/>
  <c r="X103" i="44"/>
  <c r="Q14" i="47" s="1"/>
  <c r="AJ102" i="44"/>
  <c r="AI102" i="44"/>
  <c r="AH102" i="44"/>
  <c r="AG102" i="44"/>
  <c r="T102" i="44"/>
  <c r="S102" i="44"/>
  <c r="R102" i="44"/>
  <c r="Q102" i="44"/>
  <c r="AJ97" i="44"/>
  <c r="AI97" i="44"/>
  <c r="AH97" i="44"/>
  <c r="AG97" i="44"/>
  <c r="T97" i="44"/>
  <c r="S97" i="44"/>
  <c r="R97" i="44"/>
  <c r="Q97" i="44"/>
  <c r="AJ89" i="44"/>
  <c r="AI89" i="44"/>
  <c r="AH89" i="44"/>
  <c r="AG89" i="44"/>
  <c r="T89" i="44"/>
  <c r="S89" i="44"/>
  <c r="R89" i="44"/>
  <c r="Q89" i="44"/>
  <c r="AJ87" i="44"/>
  <c r="AI87" i="44"/>
  <c r="AH87" i="44"/>
  <c r="AG87" i="44"/>
  <c r="T87" i="44"/>
  <c r="S87" i="44"/>
  <c r="R87" i="44"/>
  <c r="Q87" i="44"/>
  <c r="AJ81" i="44"/>
  <c r="AI81" i="44"/>
  <c r="AH81" i="44"/>
  <c r="AG81" i="44"/>
  <c r="T81" i="44"/>
  <c r="S81" i="44"/>
  <c r="R81" i="44"/>
  <c r="Q81" i="44"/>
  <c r="AJ79" i="44"/>
  <c r="AI79" i="44"/>
  <c r="AH79" i="44"/>
  <c r="AG79" i="44"/>
  <c r="T79" i="44"/>
  <c r="S79" i="44"/>
  <c r="R79" i="44"/>
  <c r="Q79" i="44"/>
  <c r="AJ76" i="44"/>
  <c r="AI76" i="44"/>
  <c r="AH76" i="44"/>
  <c r="AG76" i="44"/>
  <c r="T76" i="44"/>
  <c r="S76" i="44"/>
  <c r="R76" i="44"/>
  <c r="Q76" i="44"/>
  <c r="AJ71" i="44"/>
  <c r="AI71" i="44"/>
  <c r="AH71" i="44"/>
  <c r="AG71" i="44"/>
  <c r="T71" i="44"/>
  <c r="S71" i="44"/>
  <c r="R71" i="44"/>
  <c r="Q71" i="44"/>
  <c r="AJ68" i="44"/>
  <c r="AI68" i="44"/>
  <c r="AH68" i="44"/>
  <c r="AG68" i="44"/>
  <c r="T68" i="44"/>
  <c r="S68" i="44"/>
  <c r="R68" i="44"/>
  <c r="Q68" i="44"/>
  <c r="AJ65" i="44"/>
  <c r="AI65" i="44"/>
  <c r="AH65" i="44"/>
  <c r="AG65" i="44"/>
  <c r="T65" i="44"/>
  <c r="S65" i="44"/>
  <c r="R65" i="44"/>
  <c r="Q65" i="44"/>
  <c r="AJ60" i="44"/>
  <c r="AI60" i="44"/>
  <c r="AH60" i="44"/>
  <c r="AG60" i="44"/>
  <c r="T60" i="44"/>
  <c r="S60" i="44"/>
  <c r="R60" i="44"/>
  <c r="Q60" i="44"/>
  <c r="AJ55" i="44"/>
  <c r="AI55" i="44"/>
  <c r="AH55" i="44"/>
  <c r="AG55" i="44"/>
  <c r="T55" i="44"/>
  <c r="S55" i="44"/>
  <c r="R55" i="44"/>
  <c r="Q55" i="44"/>
  <c r="AJ49" i="44"/>
  <c r="AI49" i="44"/>
  <c r="AH49" i="44"/>
  <c r="AG49" i="44"/>
  <c r="T49" i="44"/>
  <c r="S49" i="44"/>
  <c r="R49" i="44"/>
  <c r="Q49" i="44"/>
  <c r="AJ44" i="44"/>
  <c r="AI44" i="44"/>
  <c r="AH44" i="44"/>
  <c r="AG44" i="44"/>
  <c r="T44" i="44"/>
  <c r="S44" i="44"/>
  <c r="R44" i="44"/>
  <c r="Q44" i="44"/>
  <c r="AJ39" i="44"/>
  <c r="AI39" i="44"/>
  <c r="AH39" i="44"/>
  <c r="AG39" i="44"/>
  <c r="T39" i="44"/>
  <c r="S39" i="44"/>
  <c r="R39" i="44"/>
  <c r="Q39" i="44"/>
  <c r="AJ34" i="44"/>
  <c r="AI34" i="44"/>
  <c r="AH34" i="44"/>
  <c r="AG34" i="44"/>
  <c r="T34" i="44"/>
  <c r="S34" i="44"/>
  <c r="R34" i="44"/>
  <c r="Q34" i="44"/>
  <c r="AJ29" i="44"/>
  <c r="AI29" i="44"/>
  <c r="AH29" i="44"/>
  <c r="AG29" i="44"/>
  <c r="T29" i="44"/>
  <c r="S29" i="44"/>
  <c r="R29" i="44"/>
  <c r="Q29" i="44"/>
  <c r="AJ24" i="44"/>
  <c r="AI24" i="44"/>
  <c r="AH24" i="44"/>
  <c r="AG24" i="44"/>
  <c r="T24" i="44"/>
  <c r="S24" i="44"/>
  <c r="R24" i="44"/>
  <c r="Q24" i="44"/>
  <c r="AJ16" i="44"/>
  <c r="AI16" i="44"/>
  <c r="AH16" i="44"/>
  <c r="AG16" i="44"/>
  <c r="T16" i="44"/>
  <c r="S16" i="44"/>
  <c r="R16" i="44"/>
  <c r="Q16" i="44"/>
  <c r="O101" i="44"/>
  <c r="O100" i="44"/>
  <c r="O99" i="44"/>
  <c r="O98" i="44"/>
  <c r="O96" i="44"/>
  <c r="O95" i="44"/>
  <c r="O94" i="44"/>
  <c r="O92" i="44"/>
  <c r="O91" i="44"/>
  <c r="O90" i="44"/>
  <c r="O88" i="44"/>
  <c r="O86" i="44"/>
  <c r="O85" i="44"/>
  <c r="O83" i="44"/>
  <c r="O80" i="44"/>
  <c r="O78" i="44"/>
  <c r="O77" i="44"/>
  <c r="O75" i="44"/>
  <c r="O74" i="44"/>
  <c r="O73" i="44"/>
  <c r="O72" i="44"/>
  <c r="O70" i="44"/>
  <c r="O69" i="44"/>
  <c r="O67" i="44"/>
  <c r="O66" i="44"/>
  <c r="O64" i="44"/>
  <c r="O63" i="44"/>
  <c r="O62" i="44"/>
  <c r="O61" i="44"/>
  <c r="O59" i="44"/>
  <c r="O58" i="44"/>
  <c r="O57" i="44"/>
  <c r="O56" i="44"/>
  <c r="O54" i="44"/>
  <c r="O53" i="44"/>
  <c r="O51" i="44"/>
  <c r="O50" i="44"/>
  <c r="O48" i="44"/>
  <c r="O47" i="44"/>
  <c r="O46" i="44"/>
  <c r="O45" i="44"/>
  <c r="O43" i="44"/>
  <c r="O42" i="44"/>
  <c r="O41" i="44"/>
  <c r="O40" i="44"/>
  <c r="O38" i="44"/>
  <c r="O37" i="44"/>
  <c r="O36" i="44"/>
  <c r="O35" i="44"/>
  <c r="O33" i="44"/>
  <c r="O32" i="44"/>
  <c r="O31" i="44"/>
  <c r="O30" i="44"/>
  <c r="O28" i="44"/>
  <c r="O27" i="44"/>
  <c r="O26" i="44"/>
  <c r="O25" i="44"/>
  <c r="O23" i="44"/>
  <c r="O22" i="44"/>
  <c r="O21" i="44"/>
  <c r="O20" i="44"/>
  <c r="O18" i="44"/>
  <c r="O17" i="44"/>
  <c r="O15" i="44"/>
  <c r="O14" i="44"/>
  <c r="O13" i="44"/>
  <c r="AA82" i="44" l="1"/>
  <c r="AO82" i="44" s="1"/>
  <c r="Z82" i="44"/>
  <c r="U101" i="44"/>
  <c r="U100" i="44"/>
  <c r="U99" i="44"/>
  <c r="U98" i="44"/>
  <c r="U96" i="44"/>
  <c r="U95" i="44"/>
  <c r="U94" i="44"/>
  <c r="U92" i="44"/>
  <c r="U91" i="44"/>
  <c r="U90" i="44"/>
  <c r="U88" i="44"/>
  <c r="AA88" i="44" s="1"/>
  <c r="AO88" i="44" s="1"/>
  <c r="U86" i="44"/>
  <c r="U85" i="44"/>
  <c r="U83" i="44"/>
  <c r="AA83" i="44" s="1"/>
  <c r="AO83" i="44" s="1"/>
  <c r="U80" i="44"/>
  <c r="U78" i="44"/>
  <c r="U77" i="44"/>
  <c r="AA77" i="44" s="1"/>
  <c r="AO77" i="44" s="1"/>
  <c r="U75" i="44"/>
  <c r="U74" i="44"/>
  <c r="AB74" i="44" s="1"/>
  <c r="AP74" i="44" s="1"/>
  <c r="U73" i="44"/>
  <c r="U72" i="44"/>
  <c r="AA72" i="44" s="1"/>
  <c r="AO72" i="44" s="1"/>
  <c r="U70" i="44"/>
  <c r="U69" i="44"/>
  <c r="U67" i="44"/>
  <c r="U66" i="44"/>
  <c r="U64" i="44"/>
  <c r="U63" i="44"/>
  <c r="U62" i="44"/>
  <c r="U61" i="44"/>
  <c r="U59" i="44"/>
  <c r="AA59" i="44" s="1"/>
  <c r="AO59" i="44" s="1"/>
  <c r="U58" i="44"/>
  <c r="U57" i="44"/>
  <c r="U56" i="44"/>
  <c r="U54" i="44"/>
  <c r="AM54" i="44" s="1"/>
  <c r="U53" i="44"/>
  <c r="U51" i="44"/>
  <c r="U50" i="44"/>
  <c r="U48" i="44"/>
  <c r="AA48" i="44" s="1"/>
  <c r="AO48" i="44" s="1"/>
  <c r="U47" i="44"/>
  <c r="U46" i="44"/>
  <c r="U45" i="44"/>
  <c r="U43" i="44"/>
  <c r="U42" i="44"/>
  <c r="U41" i="44"/>
  <c r="U40" i="44"/>
  <c r="U38" i="44"/>
  <c r="AA38" i="44" s="1"/>
  <c r="AO38" i="44" s="1"/>
  <c r="U37" i="44"/>
  <c r="U36" i="44"/>
  <c r="Z36" i="44" s="1"/>
  <c r="U35" i="44"/>
  <c r="U33" i="44"/>
  <c r="U32" i="44"/>
  <c r="U31" i="44"/>
  <c r="U30" i="44"/>
  <c r="U28" i="44"/>
  <c r="U27" i="44"/>
  <c r="U26" i="44"/>
  <c r="U25" i="44"/>
  <c r="U23" i="44"/>
  <c r="U22" i="44"/>
  <c r="U21" i="44"/>
  <c r="U20" i="44"/>
  <c r="U18" i="44"/>
  <c r="U17" i="44"/>
  <c r="U15" i="44"/>
  <c r="U14" i="44"/>
  <c r="U13" i="44"/>
  <c r="Y104" i="44"/>
  <c r="AJ103" i="44"/>
  <c r="AC14" i="47" s="1"/>
  <c r="AI103" i="44"/>
  <c r="AB14" i="47" s="1"/>
  <c r="S103" i="44"/>
  <c r="L14" i="47" s="1"/>
  <c r="R103" i="44"/>
  <c r="K14" i="47" s="1"/>
  <c r="T103" i="44"/>
  <c r="M14" i="47" s="1"/>
  <c r="AF103" i="44"/>
  <c r="Y14" i="47" s="1"/>
  <c r="Q103" i="44"/>
  <c r="J14" i="47" s="1"/>
  <c r="AG103" i="44"/>
  <c r="Z14" i="47" s="1"/>
  <c r="AH103" i="44"/>
  <c r="O68" i="44"/>
  <c r="O65" i="44"/>
  <c r="O76" i="44"/>
  <c r="O71" i="44"/>
  <c r="O29" i="44"/>
  <c r="O79" i="44"/>
  <c r="O97" i="44"/>
  <c r="O24" i="44"/>
  <c r="O49" i="44"/>
  <c r="O87" i="44"/>
  <c r="O102" i="44"/>
  <c r="O60" i="44"/>
  <c r="O55" i="44"/>
  <c r="O16" i="44"/>
  <c r="O44" i="44"/>
  <c r="O89" i="44"/>
  <c r="O34" i="44"/>
  <c r="O39" i="44"/>
  <c r="O81" i="44"/>
  <c r="AK81" i="44"/>
  <c r="AK89" i="44"/>
  <c r="AA14" i="47" l="1"/>
  <c r="AA23" i="47" s="1"/>
  <c r="AA100" i="44"/>
  <c r="AO100" i="44" s="1"/>
  <c r="AM100" i="44"/>
  <c r="Z100" i="44"/>
  <c r="AA13" i="44"/>
  <c r="AO13" i="44" s="1"/>
  <c r="AM13" i="44"/>
  <c r="Z13" i="44"/>
  <c r="AM33" i="44"/>
  <c r="Z33" i="44"/>
  <c r="AA99" i="44"/>
  <c r="AO99" i="44" s="1"/>
  <c r="AM99" i="44"/>
  <c r="Z99" i="44"/>
  <c r="AA98" i="44"/>
  <c r="AO98" i="44" s="1"/>
  <c r="AM98" i="44"/>
  <c r="Z98" i="44"/>
  <c r="AA92" i="44"/>
  <c r="AO92" i="44" s="1"/>
  <c r="AM92" i="44"/>
  <c r="Z92" i="44"/>
  <c r="AA91" i="44"/>
  <c r="AO91" i="44" s="1"/>
  <c r="AM91" i="44"/>
  <c r="Z91" i="44"/>
  <c r="AA90" i="44"/>
  <c r="AO90" i="44" s="1"/>
  <c r="AM90" i="44"/>
  <c r="Z90" i="44"/>
  <c r="AA43" i="44"/>
  <c r="AO43" i="44" s="1"/>
  <c r="AM43" i="44"/>
  <c r="Z43" i="44"/>
  <c r="AA80" i="44"/>
  <c r="AO80" i="44" s="1"/>
  <c r="AM80" i="44"/>
  <c r="Z80" i="44"/>
  <c r="AM70" i="44"/>
  <c r="Z70" i="44"/>
  <c r="AA69" i="44"/>
  <c r="AO69" i="44" s="1"/>
  <c r="Z69" i="44"/>
  <c r="AM69" i="44"/>
  <c r="AA78" i="44"/>
  <c r="AO78" i="44" s="1"/>
  <c r="Z78" i="44"/>
  <c r="AM78" i="44"/>
  <c r="AM101" i="44"/>
  <c r="Z101" i="44"/>
  <c r="AA101" i="44"/>
  <c r="AO101" i="44" s="1"/>
  <c r="AA96" i="44"/>
  <c r="AO96" i="44" s="1"/>
  <c r="AM96" i="44"/>
  <c r="Z96" i="44"/>
  <c r="AA95" i="44"/>
  <c r="AO95" i="44" s="1"/>
  <c r="AM95" i="44"/>
  <c r="Z95" i="44"/>
  <c r="AA94" i="44"/>
  <c r="AO94" i="44" s="1"/>
  <c r="AM94" i="44"/>
  <c r="Z94" i="44"/>
  <c r="AA86" i="44"/>
  <c r="AO86" i="44" s="1"/>
  <c r="AM86" i="44"/>
  <c r="Z86" i="44"/>
  <c r="AA85" i="44"/>
  <c r="AO85" i="44" s="1"/>
  <c r="AM85" i="44"/>
  <c r="Z85" i="44"/>
  <c r="AB70" i="44"/>
  <c r="AP70" i="44" s="1"/>
  <c r="AA70" i="44"/>
  <c r="AO70" i="44" s="1"/>
  <c r="AA36" i="44"/>
  <c r="AM36" i="44"/>
  <c r="AA23" i="44"/>
  <c r="AO23" i="44" s="1"/>
  <c r="AM23" i="44"/>
  <c r="Z23" i="44"/>
  <c r="AM88" i="44"/>
  <c r="Z88" i="44"/>
  <c r="Z83" i="44"/>
  <c r="AM83" i="44"/>
  <c r="AM77" i="44"/>
  <c r="Z77" i="44"/>
  <c r="AM75" i="44"/>
  <c r="Z75" i="44"/>
  <c r="AA75" i="44"/>
  <c r="AO75" i="44" s="1"/>
  <c r="AM74" i="44"/>
  <c r="Z74" i="44"/>
  <c r="AA74" i="44"/>
  <c r="AO74" i="44" s="1"/>
  <c r="AM73" i="44"/>
  <c r="AA73" i="44"/>
  <c r="AO73" i="44" s="1"/>
  <c r="Z73" i="44"/>
  <c r="Z72" i="44"/>
  <c r="AM72" i="44"/>
  <c r="AM67" i="44"/>
  <c r="Z67" i="44"/>
  <c r="AA67" i="44"/>
  <c r="AO67" i="44" s="1"/>
  <c r="AA66" i="44"/>
  <c r="AO66" i="44" s="1"/>
  <c r="AM66" i="44"/>
  <c r="Z66" i="44"/>
  <c r="AM64" i="44"/>
  <c r="Z64" i="44"/>
  <c r="AA64" i="44"/>
  <c r="AO64" i="44" s="1"/>
  <c r="AM63" i="44"/>
  <c r="Z63" i="44"/>
  <c r="AA63" i="44"/>
  <c r="AO63" i="44" s="1"/>
  <c r="Z62" i="44"/>
  <c r="AM62" i="44"/>
  <c r="AA62" i="44"/>
  <c r="AO62" i="44" s="1"/>
  <c r="AM61" i="44"/>
  <c r="Z61" i="44"/>
  <c r="AA61" i="44"/>
  <c r="AO61" i="44" s="1"/>
  <c r="Z59" i="44"/>
  <c r="AM59" i="44"/>
  <c r="Z58" i="44"/>
  <c r="AM58" i="44"/>
  <c r="AA58" i="44"/>
  <c r="AO58" i="44" s="1"/>
  <c r="AA57" i="44"/>
  <c r="AO57" i="44" s="1"/>
  <c r="Z57" i="44"/>
  <c r="AM57" i="44"/>
  <c r="AM56" i="44"/>
  <c r="Z56" i="44"/>
  <c r="AA56" i="44"/>
  <c r="AO56" i="44" s="1"/>
  <c r="Z54" i="44"/>
  <c r="AA54" i="44"/>
  <c r="AO54" i="44" s="1"/>
  <c r="AA53" i="44"/>
  <c r="AO53" i="44" s="1"/>
  <c r="Z53" i="44"/>
  <c r="AM53" i="44"/>
  <c r="Z51" i="44"/>
  <c r="AA51" i="44"/>
  <c r="AO51" i="44" s="1"/>
  <c r="AM51" i="44"/>
  <c r="Z50" i="44"/>
  <c r="AA50" i="44"/>
  <c r="AO50" i="44" s="1"/>
  <c r="AM50" i="44"/>
  <c r="AM48" i="44"/>
  <c r="Z48" i="44"/>
  <c r="AA47" i="44"/>
  <c r="AO47" i="44" s="1"/>
  <c r="AM47" i="44"/>
  <c r="Z47" i="44"/>
  <c r="AM46" i="44"/>
  <c r="Z46" i="44"/>
  <c r="AA46" i="44"/>
  <c r="AO46" i="44" s="1"/>
  <c r="AM45" i="44"/>
  <c r="Z45" i="44"/>
  <c r="AA45" i="44"/>
  <c r="AO45" i="44" s="1"/>
  <c r="Z42" i="44"/>
  <c r="AM42" i="44"/>
  <c r="AA42" i="44"/>
  <c r="AO42" i="44" s="1"/>
  <c r="Z41" i="44"/>
  <c r="AM41" i="44"/>
  <c r="AA41" i="44"/>
  <c r="AO41" i="44" s="1"/>
  <c r="Z40" i="44"/>
  <c r="AM40" i="44"/>
  <c r="AA40" i="44"/>
  <c r="AO40" i="44" s="1"/>
  <c r="AM38" i="44"/>
  <c r="Z38" i="44"/>
  <c r="AA37" i="44"/>
  <c r="AO37" i="44" s="1"/>
  <c r="Z37" i="44"/>
  <c r="AM37" i="44"/>
  <c r="AM35" i="44"/>
  <c r="Z35" i="44"/>
  <c r="AA35" i="44"/>
  <c r="AO35" i="44" s="1"/>
  <c r="AA33" i="44"/>
  <c r="AB33" i="44"/>
  <c r="AP33" i="44" s="1"/>
  <c r="Z32" i="44"/>
  <c r="AM32" i="44"/>
  <c r="AA32" i="44"/>
  <c r="AO32" i="44" s="1"/>
  <c r="Z31" i="44"/>
  <c r="AM31" i="44"/>
  <c r="AA31" i="44"/>
  <c r="AO31" i="44" s="1"/>
  <c r="AM30" i="44"/>
  <c r="AA30" i="44"/>
  <c r="AO30" i="44" s="1"/>
  <c r="Z30" i="44"/>
  <c r="AA28" i="44"/>
  <c r="AO28" i="44" s="1"/>
  <c r="Z28" i="44"/>
  <c r="AM28" i="44"/>
  <c r="AB28" i="44"/>
  <c r="AP28" i="44" s="1"/>
  <c r="AA27" i="44"/>
  <c r="AO27" i="44" s="1"/>
  <c r="Z27" i="44"/>
  <c r="AM27" i="44"/>
  <c r="AA26" i="44"/>
  <c r="AO26" i="44" s="1"/>
  <c r="Z26" i="44"/>
  <c r="AM26" i="44"/>
  <c r="AM25" i="44"/>
  <c r="Z25" i="44"/>
  <c r="AA25" i="44"/>
  <c r="AO25" i="44" s="1"/>
  <c r="AM22" i="44"/>
  <c r="Z22" i="44"/>
  <c r="AA22" i="44"/>
  <c r="AO22" i="44" s="1"/>
  <c r="AA21" i="44"/>
  <c r="AO21" i="44" s="1"/>
  <c r="Z21" i="44"/>
  <c r="AM21" i="44"/>
  <c r="AA20" i="44"/>
  <c r="AO20" i="44" s="1"/>
  <c r="AM20" i="44"/>
  <c r="Z20" i="44"/>
  <c r="AA18" i="44"/>
  <c r="AO18" i="44" s="1"/>
  <c r="Z18" i="44"/>
  <c r="AM18" i="44"/>
  <c r="Z17" i="44"/>
  <c r="AM17" i="44"/>
  <c r="AA17" i="44"/>
  <c r="AO17" i="44" s="1"/>
  <c r="AM15" i="44"/>
  <c r="Z15" i="44"/>
  <c r="AA15" i="44"/>
  <c r="AO15" i="44" s="1"/>
  <c r="Z14" i="44"/>
  <c r="AM14" i="44"/>
  <c r="AA14" i="44"/>
  <c r="AO14" i="44" s="1"/>
  <c r="V23" i="47"/>
  <c r="O103" i="44"/>
  <c r="H14" i="47" s="1"/>
  <c r="U76" i="44"/>
  <c r="U89" i="44"/>
  <c r="AB46" i="44"/>
  <c r="AP46" i="44" s="1"/>
  <c r="AB23" i="44"/>
  <c r="AP23" i="44" s="1"/>
  <c r="AB38" i="44"/>
  <c r="AP38" i="44" s="1"/>
  <c r="AB13" i="44"/>
  <c r="AP13" i="44" s="1"/>
  <c r="U55" i="44"/>
  <c r="AB69" i="44"/>
  <c r="AP69" i="44" s="1"/>
  <c r="U49" i="44"/>
  <c r="U68" i="44"/>
  <c r="U102" i="44"/>
  <c r="AK16" i="44"/>
  <c r="AB67" i="44"/>
  <c r="AP67" i="44" s="1"/>
  <c r="U81" i="44"/>
  <c r="AK65" i="44"/>
  <c r="U97" i="44"/>
  <c r="AK29" i="44"/>
  <c r="U87" i="44"/>
  <c r="U60" i="44"/>
  <c r="AK68" i="44"/>
  <c r="U39" i="44"/>
  <c r="U16" i="44"/>
  <c r="AB18" i="44"/>
  <c r="AP18" i="44" s="1"/>
  <c r="AK49" i="44"/>
  <c r="AK39" i="44"/>
  <c r="AK79" i="44"/>
  <c r="AK44" i="44"/>
  <c r="AK102" i="44"/>
  <c r="AK60" i="44"/>
  <c r="U24" i="44"/>
  <c r="AB61" i="44"/>
  <c r="AP61" i="44" s="1"/>
  <c r="U65" i="44"/>
  <c r="U44" i="44"/>
  <c r="AK76" i="44"/>
  <c r="AK24" i="44"/>
  <c r="U29" i="44"/>
  <c r="U34" i="44"/>
  <c r="AK34" i="44"/>
  <c r="AK87" i="44"/>
  <c r="AK55" i="44"/>
  <c r="AK71" i="44"/>
  <c r="AK97" i="44"/>
  <c r="AB54" i="44"/>
  <c r="AP54" i="44" s="1"/>
  <c r="AB47" i="44"/>
  <c r="AP47" i="44" s="1"/>
  <c r="AB40" i="44"/>
  <c r="AP40" i="44" s="1"/>
  <c r="AB75" i="44"/>
  <c r="AP75" i="44" s="1"/>
  <c r="AB42" i="44"/>
  <c r="AP42" i="44" s="1"/>
  <c r="AB53" i="44"/>
  <c r="AP53" i="44" s="1"/>
  <c r="AB64" i="44"/>
  <c r="AP64" i="44" s="1"/>
  <c r="AB22" i="44"/>
  <c r="AP22" i="44" s="1"/>
  <c r="AB37" i="44"/>
  <c r="AP37" i="44" s="1"/>
  <c r="AB101" i="44"/>
  <c r="AP101" i="44" s="1"/>
  <c r="AB96" i="44"/>
  <c r="AP96" i="44" s="1"/>
  <c r="AB91" i="44"/>
  <c r="AP91" i="44" s="1"/>
  <c r="AB20" i="44"/>
  <c r="AP20" i="44" s="1"/>
  <c r="AB17" i="44"/>
  <c r="AP17" i="44" s="1"/>
  <c r="AB26" i="44"/>
  <c r="AP26" i="44" s="1"/>
  <c r="AB25" i="44"/>
  <c r="AP25" i="44" s="1"/>
  <c r="AB31" i="44"/>
  <c r="AP31" i="44" s="1"/>
  <c r="AB35" i="44"/>
  <c r="AP35" i="44" s="1"/>
  <c r="AB94" i="44"/>
  <c r="AP94" i="44" s="1"/>
  <c r="AB99" i="44"/>
  <c r="AP99" i="44" s="1"/>
  <c r="AB86" i="44"/>
  <c r="AP86" i="44" s="1"/>
  <c r="AB92" i="44"/>
  <c r="AP92" i="44" s="1"/>
  <c r="AB48" i="44"/>
  <c r="AP48" i="44" s="1"/>
  <c r="AB82" i="44"/>
  <c r="AD82" i="44" s="1"/>
  <c r="AB30" i="44"/>
  <c r="AP30" i="44" s="1"/>
  <c r="AB15" i="44"/>
  <c r="AP15" i="44" s="1"/>
  <c r="AB27" i="44"/>
  <c r="AP27" i="44" s="1"/>
  <c r="AB100" i="44"/>
  <c r="AP100" i="44" s="1"/>
  <c r="AB95" i="44"/>
  <c r="AP95" i="44" s="1"/>
  <c r="AB90" i="44"/>
  <c r="AP90" i="44" s="1"/>
  <c r="AB85" i="44"/>
  <c r="AP85" i="44" s="1"/>
  <c r="AB78" i="44"/>
  <c r="AP78" i="44" s="1"/>
  <c r="AB63" i="44"/>
  <c r="AP63" i="44" s="1"/>
  <c r="AB14" i="44"/>
  <c r="AP14" i="44" s="1"/>
  <c r="AB57" i="44"/>
  <c r="AP57" i="44" s="1"/>
  <c r="AB62" i="44"/>
  <c r="AP62" i="44" s="1"/>
  <c r="AB73" i="44"/>
  <c r="AP73" i="44" s="1"/>
  <c r="AB59" i="44"/>
  <c r="AP59" i="44" s="1"/>
  <c r="AB43" i="44"/>
  <c r="AP43" i="44" s="1"/>
  <c r="AB41" i="44"/>
  <c r="AP41" i="44" s="1"/>
  <c r="AB51" i="44"/>
  <c r="AP51" i="44" s="1"/>
  <c r="AB21" i="44"/>
  <c r="AP21" i="44" s="1"/>
  <c r="AB36" i="44"/>
  <c r="AP36" i="44" s="1"/>
  <c r="AB83" i="44"/>
  <c r="AP83" i="44" s="1"/>
  <c r="AB58" i="44"/>
  <c r="AP58" i="44" s="1"/>
  <c r="AB56" i="44"/>
  <c r="AP56" i="44" s="1"/>
  <c r="AB32" i="44"/>
  <c r="AP32" i="44" s="1"/>
  <c r="AD20" i="44" l="1"/>
  <c r="AD61" i="44"/>
  <c r="AL61" i="44" s="1"/>
  <c r="AD83" i="44"/>
  <c r="AL83" i="44" s="1"/>
  <c r="AD95" i="44"/>
  <c r="AD26" i="44"/>
  <c r="AL26" i="44" s="1"/>
  <c r="AD86" i="44"/>
  <c r="AL86" i="44" s="1"/>
  <c r="AD23" i="44"/>
  <c r="AL23" i="44" s="1"/>
  <c r="AD91" i="44"/>
  <c r="AL91" i="44" s="1"/>
  <c r="AD33" i="44"/>
  <c r="AL33" i="44" s="1"/>
  <c r="AD48" i="44"/>
  <c r="AL48" i="44" s="1"/>
  <c r="AD85" i="44"/>
  <c r="AL85" i="44" s="1"/>
  <c r="AD94" i="44"/>
  <c r="AL94" i="44" s="1"/>
  <c r="AD96" i="44"/>
  <c r="AL96" i="44" s="1"/>
  <c r="AD100" i="44"/>
  <c r="AL100" i="44" s="1"/>
  <c r="AD13" i="44"/>
  <c r="AL13" i="44" s="1"/>
  <c r="AD99" i="44"/>
  <c r="AL99" i="44" s="1"/>
  <c r="AD92" i="44"/>
  <c r="AL92" i="44" s="1"/>
  <c r="AD90" i="44"/>
  <c r="AD43" i="44"/>
  <c r="AL43" i="44" s="1"/>
  <c r="AD70" i="44"/>
  <c r="AL70" i="44" s="1"/>
  <c r="AD69" i="44"/>
  <c r="AD78" i="44"/>
  <c r="AD101" i="44"/>
  <c r="AL101" i="44" s="1"/>
  <c r="AD36" i="44"/>
  <c r="AL36" i="44" s="1"/>
  <c r="AD75" i="44"/>
  <c r="AL75" i="44" s="1"/>
  <c r="AD74" i="44"/>
  <c r="AL74" i="44" s="1"/>
  <c r="AD73" i="44"/>
  <c r="AL73" i="44" s="1"/>
  <c r="AD67" i="44"/>
  <c r="AL67" i="44" s="1"/>
  <c r="AD63" i="44"/>
  <c r="AL63" i="44" s="1"/>
  <c r="AD59" i="44"/>
  <c r="AL59" i="44" s="1"/>
  <c r="AD58" i="44"/>
  <c r="AL58" i="44" s="1"/>
  <c r="AD57" i="44"/>
  <c r="AL57" i="44" s="1"/>
  <c r="AD56" i="44"/>
  <c r="AD54" i="44"/>
  <c r="AL54" i="44" s="1"/>
  <c r="AD53" i="44"/>
  <c r="AL53" i="44" s="1"/>
  <c r="AD51" i="44"/>
  <c r="AL51" i="44" s="1"/>
  <c r="AD47" i="44"/>
  <c r="AL47" i="44" s="1"/>
  <c r="AD46" i="44"/>
  <c r="AL46" i="44" s="1"/>
  <c r="AD42" i="44"/>
  <c r="AL42" i="44" s="1"/>
  <c r="AD41" i="44"/>
  <c r="AL41" i="44" s="1"/>
  <c r="AD40" i="44"/>
  <c r="AD38" i="44"/>
  <c r="AL38" i="44" s="1"/>
  <c r="AD37" i="44"/>
  <c r="AL37" i="44" s="1"/>
  <c r="AD35" i="44"/>
  <c r="AD32" i="44"/>
  <c r="AL32" i="44" s="1"/>
  <c r="AD31" i="44"/>
  <c r="AL31" i="44" s="1"/>
  <c r="AD30" i="44"/>
  <c r="AD28" i="44"/>
  <c r="AL28" i="44" s="1"/>
  <c r="AD27" i="44"/>
  <c r="AL27" i="44" s="1"/>
  <c r="AD22" i="44"/>
  <c r="AL22" i="44" s="1"/>
  <c r="AD21" i="44"/>
  <c r="AL21" i="44" s="1"/>
  <c r="AD18" i="44"/>
  <c r="AL18" i="44" s="1"/>
  <c r="AD17" i="44"/>
  <c r="AL17" i="44" s="1"/>
  <c r="AD15" i="44"/>
  <c r="AL15" i="44" s="1"/>
  <c r="AD14" i="44"/>
  <c r="AL14" i="44" s="1"/>
  <c r="AD64" i="44"/>
  <c r="AL64" i="44" s="1"/>
  <c r="AD62" i="44"/>
  <c r="Z29" i="44"/>
  <c r="AD25" i="44"/>
  <c r="AL25" i="44" s="1"/>
  <c r="Z71" i="44"/>
  <c r="AO36" i="44"/>
  <c r="Z68" i="44"/>
  <c r="Z65" i="44"/>
  <c r="Z55" i="44"/>
  <c r="Z49" i="44"/>
  <c r="Z39" i="44"/>
  <c r="AP82" i="44"/>
  <c r="AL82" i="44"/>
  <c r="Z76" i="44"/>
  <c r="Z24" i="44"/>
  <c r="Z89" i="44"/>
  <c r="Z115" i="44"/>
  <c r="S35" i="47" s="1"/>
  <c r="Z60" i="44"/>
  <c r="Z110" i="44"/>
  <c r="S30" i="47" s="1"/>
  <c r="Z102" i="44"/>
  <c r="Z97" i="44"/>
  <c r="Z44" i="44"/>
  <c r="Z87" i="44"/>
  <c r="Z109" i="44"/>
  <c r="S29" i="47" s="1"/>
  <c r="Z16" i="44"/>
  <c r="Z114" i="44"/>
  <c r="S34" i="47" s="1"/>
  <c r="Z34" i="44"/>
  <c r="Z81" i="44"/>
  <c r="Z116" i="44"/>
  <c r="S36" i="47" s="1"/>
  <c r="AO33" i="44"/>
  <c r="Z108" i="44"/>
  <c r="S28" i="47" s="1"/>
  <c r="Z79" i="44"/>
  <c r="Z107" i="44"/>
  <c r="S27" i="47" s="1"/>
  <c r="U104" i="44"/>
  <c r="AL78" i="44"/>
  <c r="AK103" i="44"/>
  <c r="AD14" i="47" s="1"/>
  <c r="AL20" i="44"/>
  <c r="AL95" i="44"/>
  <c r="AB88" i="44"/>
  <c r="AD88" i="44" s="1"/>
  <c r="AD89" i="44" s="1"/>
  <c r="AB50" i="44"/>
  <c r="AD50" i="44" s="1"/>
  <c r="AB72" i="44"/>
  <c r="AD72" i="44" s="1"/>
  <c r="AB98" i="44"/>
  <c r="AD98" i="44" s="1"/>
  <c r="AA89" i="44"/>
  <c r="U71" i="44"/>
  <c r="AA55" i="44"/>
  <c r="AA81" i="44"/>
  <c r="AB45" i="44"/>
  <c r="AD45" i="44" s="1"/>
  <c r="AA49" i="44"/>
  <c r="Y76" i="44"/>
  <c r="AB66" i="44"/>
  <c r="AD66" i="44" s="1"/>
  <c r="AD68" i="44" s="1"/>
  <c r="Y68" i="44"/>
  <c r="AA68" i="44"/>
  <c r="AA102" i="44"/>
  <c r="Y29" i="44"/>
  <c r="Y16" i="44"/>
  <c r="AB80" i="44"/>
  <c r="AD80" i="44" s="1"/>
  <c r="AD81" i="44" s="1"/>
  <c r="AB39" i="44"/>
  <c r="AA24" i="44"/>
  <c r="Y24" i="44"/>
  <c r="Y71" i="44"/>
  <c r="AB71" i="44"/>
  <c r="AB87" i="44"/>
  <c r="U79" i="44"/>
  <c r="AB77" i="44"/>
  <c r="AD77" i="44" s="1"/>
  <c r="AD79" i="44" s="1"/>
  <c r="AB65" i="44"/>
  <c r="Y60" i="44"/>
  <c r="Y102" i="44"/>
  <c r="AA87" i="44"/>
  <c r="Y97" i="44"/>
  <c r="Y55" i="44"/>
  <c r="AB34" i="44"/>
  <c r="AB16" i="44"/>
  <c r="AB29" i="44"/>
  <c r="AA65" i="44"/>
  <c r="Y49" i="44"/>
  <c r="AB60" i="44"/>
  <c r="AA34" i="44"/>
  <c r="AA16" i="44"/>
  <c r="AA29" i="44"/>
  <c r="AB44" i="44"/>
  <c r="Y79" i="44"/>
  <c r="Y87" i="44"/>
  <c r="AA97" i="44"/>
  <c r="AA60" i="44"/>
  <c r="AB97" i="44"/>
  <c r="AA39" i="44"/>
  <c r="AB24" i="44"/>
  <c r="AA44" i="44"/>
  <c r="Y89" i="44"/>
  <c r="Y65" i="44"/>
  <c r="Y44" i="44"/>
  <c r="Y34" i="44"/>
  <c r="Y81" i="44"/>
  <c r="AD87" i="44" l="1"/>
  <c r="AD102" i="44"/>
  <c r="AD49" i="44"/>
  <c r="AD97" i="44"/>
  <c r="AL90" i="44"/>
  <c r="AD55" i="44"/>
  <c r="AD76" i="44"/>
  <c r="AD29" i="44"/>
  <c r="AD24" i="44"/>
  <c r="AD16" i="44"/>
  <c r="AD71" i="44"/>
  <c r="AL69" i="44"/>
  <c r="AD60" i="44"/>
  <c r="AL56" i="44"/>
  <c r="AD44" i="44"/>
  <c r="AL40" i="44"/>
  <c r="AD39" i="44"/>
  <c r="AL35" i="44"/>
  <c r="AD34" i="44"/>
  <c r="AL30" i="44"/>
  <c r="AD65" i="44"/>
  <c r="AL62" i="44"/>
  <c r="Z103" i="44"/>
  <c r="S14" i="47" s="1"/>
  <c r="AP88" i="44"/>
  <c r="AL88" i="44"/>
  <c r="AP50" i="44"/>
  <c r="AL50" i="44"/>
  <c r="AP72" i="44"/>
  <c r="AL72" i="44"/>
  <c r="AP98" i="44"/>
  <c r="AL98" i="44"/>
  <c r="AP45" i="44"/>
  <c r="AP66" i="44"/>
  <c r="AP80" i="44"/>
  <c r="AP77" i="44"/>
  <c r="AL77" i="44"/>
  <c r="Z106" i="44"/>
  <c r="U103" i="44"/>
  <c r="N14" i="47" s="1"/>
  <c r="AB68" i="44"/>
  <c r="AL66" i="44"/>
  <c r="AB102" i="44"/>
  <c r="AB76" i="44"/>
  <c r="AB79" i="44"/>
  <c r="AB81" i="44"/>
  <c r="AL80" i="44"/>
  <c r="AB55" i="44"/>
  <c r="AL45" i="44"/>
  <c r="AB89" i="44"/>
  <c r="AA76" i="44"/>
  <c r="AA71" i="44"/>
  <c r="AB49" i="44"/>
  <c r="Y39" i="44"/>
  <c r="Y103" i="44" s="1"/>
  <c r="R14" i="47" s="1"/>
  <c r="AA79" i="44"/>
  <c r="AA103" i="44" l="1"/>
  <c r="T14" i="47" s="1"/>
  <c r="AB103" i="44"/>
  <c r="U14" i="47" s="1"/>
  <c r="AI116" i="44"/>
  <c r="AB36" i="47" s="1"/>
  <c r="AI115" i="44"/>
  <c r="AB35" i="47" s="1"/>
  <c r="AI114" i="44"/>
  <c r="AB34" i="47" s="1"/>
  <c r="AI113" i="44"/>
  <c r="AB33" i="47" s="1"/>
  <c r="AI112" i="44"/>
  <c r="AB32" i="47" s="1"/>
  <c r="AI111" i="44"/>
  <c r="AB31" i="47" s="1"/>
  <c r="AI110" i="44"/>
  <c r="AB30" i="47" s="1"/>
  <c r="AI109" i="44"/>
  <c r="AB29" i="47" s="1"/>
  <c r="AI108" i="44"/>
  <c r="AB28" i="47" s="1"/>
  <c r="AI107" i="44"/>
  <c r="AB27" i="47" s="1"/>
  <c r="S116" i="44"/>
  <c r="L36" i="47" s="1"/>
  <c r="S115" i="44"/>
  <c r="L35" i="47" s="1"/>
  <c r="S114" i="44"/>
  <c r="L34" i="47" s="1"/>
  <c r="S113" i="44"/>
  <c r="L33" i="47" s="1"/>
  <c r="S112" i="44"/>
  <c r="L32" i="47" s="1"/>
  <c r="S111" i="44"/>
  <c r="L31" i="47" s="1"/>
  <c r="S110" i="44"/>
  <c r="L30" i="47" s="1"/>
  <c r="S109" i="44"/>
  <c r="L29" i="47" s="1"/>
  <c r="S108" i="44"/>
  <c r="L28" i="47" s="1"/>
  <c r="S107" i="44"/>
  <c r="L27" i="47" s="1"/>
  <c r="AD104" i="44" l="1"/>
  <c r="AD103" i="44"/>
  <c r="W14" i="47" s="1"/>
  <c r="S106" i="44"/>
  <c r="AI106" i="44"/>
  <c r="L23" i="47" l="1"/>
  <c r="AB23" i="47"/>
  <c r="L26" i="47"/>
  <c r="AN29" i="44" l="1"/>
  <c r="AN24" i="44"/>
  <c r="AN89" i="44"/>
  <c r="AR68" i="44"/>
  <c r="AN68" i="44"/>
  <c r="AR81" i="44"/>
  <c r="AM71" i="44"/>
  <c r="AR16" i="44"/>
  <c r="AN34" i="44"/>
  <c r="AN97" i="44"/>
  <c r="AN81" i="44"/>
  <c r="AR39" i="44"/>
  <c r="AR29" i="44"/>
  <c r="AN102" i="44"/>
  <c r="AN16" i="44"/>
  <c r="AR65" i="44"/>
  <c r="AR55" i="44"/>
  <c r="AN87" i="44"/>
  <c r="AN76" i="44"/>
  <c r="AR102" i="44"/>
  <c r="AR79" i="44"/>
  <c r="AR87" i="44"/>
  <c r="AN55" i="44"/>
  <c r="AN65" i="44"/>
  <c r="AN79" i="44"/>
  <c r="AR60" i="44"/>
  <c r="AR71" i="44"/>
  <c r="AO71" i="44"/>
  <c r="AR97" i="44"/>
  <c r="AN71" i="44"/>
  <c r="AR24" i="44"/>
  <c r="AN49" i="44"/>
  <c r="AR49" i="44"/>
  <c r="AR89" i="44"/>
  <c r="AR76" i="44"/>
  <c r="AN39" i="44"/>
  <c r="AR34" i="44"/>
  <c r="AN44" i="44"/>
  <c r="AR44" i="44"/>
  <c r="AN60" i="44"/>
  <c r="AM81" i="44"/>
  <c r="AR103" i="44" l="1"/>
  <c r="AK14" i="47" s="1"/>
  <c r="AN103" i="44"/>
  <c r="AG14" i="47" s="1"/>
  <c r="AM44" i="44"/>
  <c r="AP44" i="44"/>
  <c r="AM68" i="44"/>
  <c r="AO68" i="44"/>
  <c r="AM79" i="44"/>
  <c r="AM87" i="44"/>
  <c r="AM24" i="44"/>
  <c r="AM102" i="44"/>
  <c r="AP81" i="44"/>
  <c r="AP16" i="44"/>
  <c r="AO97" i="44"/>
  <c r="AO29" i="44"/>
  <c r="AP79" i="44"/>
  <c r="AO102" i="44"/>
  <c r="AO16" i="44"/>
  <c r="AO24" i="44"/>
  <c r="AO60" i="44"/>
  <c r="AP97" i="44"/>
  <c r="AP29" i="44"/>
  <c r="AO87" i="44"/>
  <c r="AP71" i="44"/>
  <c r="AM39" i="44"/>
  <c r="AP102" i="44"/>
  <c r="AO34" i="44"/>
  <c r="AP24" i="44"/>
  <c r="AP60" i="44"/>
  <c r="AM29" i="44"/>
  <c r="AP68" i="44"/>
  <c r="AM55" i="44"/>
  <c r="AP34" i="44"/>
  <c r="AO44" i="44"/>
  <c r="AM60" i="44"/>
  <c r="AO76" i="44"/>
  <c r="AP65" i="44"/>
  <c r="AM89" i="44"/>
  <c r="AP49" i="44"/>
  <c r="AP55" i="44"/>
  <c r="AM49" i="44"/>
  <c r="AO55" i="44"/>
  <c r="AO81" i="44"/>
  <c r="AM34" i="44"/>
  <c r="AM76" i="44"/>
  <c r="AM65" i="44"/>
  <c r="AO49" i="44"/>
  <c r="AM16" i="44"/>
  <c r="AP76" i="44"/>
  <c r="AM97" i="44"/>
  <c r="AO65" i="44"/>
  <c r="AO79" i="44"/>
  <c r="AP87" i="44"/>
  <c r="AM103" i="44" l="1"/>
  <c r="AF14" i="47" s="1"/>
  <c r="AL44" i="44"/>
  <c r="AL81" i="44"/>
  <c r="AL97" i="44"/>
  <c r="AL34" i="44"/>
  <c r="AL87" i="44"/>
  <c r="AL71" i="44"/>
  <c r="AO89" i="44"/>
  <c r="AL68" i="44"/>
  <c r="AL60" i="44"/>
  <c r="AL79" i="44"/>
  <c r="AP89" i="44"/>
  <c r="AP39" i="44"/>
  <c r="AL102" i="44"/>
  <c r="AL16" i="44"/>
  <c r="AO39" i="44"/>
  <c r="AL65" i="44"/>
  <c r="AL29" i="44"/>
  <c r="AL24" i="44"/>
  <c r="AL76" i="44"/>
  <c r="AL49" i="44"/>
  <c r="AL55" i="44"/>
  <c r="AO103" i="44" l="1"/>
  <c r="AH14" i="47" s="1"/>
  <c r="AP103" i="44"/>
  <c r="AI14" i="47" s="1"/>
  <c r="AL39" i="44"/>
  <c r="AL89" i="44"/>
  <c r="AL103" i="44" l="1"/>
  <c r="AE14" i="47" s="1"/>
  <c r="AL104" i="44"/>
  <c r="K107" i="44"/>
  <c r="D27" i="47" s="1"/>
  <c r="L107" i="44"/>
  <c r="E27" i="47" s="1"/>
  <c r="Q107" i="44"/>
  <c r="J27" i="47" s="1"/>
  <c r="R107" i="44"/>
  <c r="K27" i="47" s="1"/>
  <c r="T107" i="44"/>
  <c r="M27" i="47" s="1"/>
  <c r="V107" i="44"/>
  <c r="O27" i="47" s="1"/>
  <c r="W107" i="44"/>
  <c r="P27" i="47" s="1"/>
  <c r="X107" i="44"/>
  <c r="Q27" i="47" s="1"/>
  <c r="AE107" i="44"/>
  <c r="X27" i="47" s="1"/>
  <c r="AF107" i="44"/>
  <c r="Y27" i="47" s="1"/>
  <c r="AG107" i="44"/>
  <c r="Z27" i="47" s="1"/>
  <c r="AH107" i="44"/>
  <c r="AA27" i="47" s="1"/>
  <c r="AJ107" i="44"/>
  <c r="AC27" i="47" s="1"/>
  <c r="K108" i="44"/>
  <c r="D28" i="47" s="1"/>
  <c r="L108" i="44"/>
  <c r="E28" i="47" s="1"/>
  <c r="Q108" i="44"/>
  <c r="J28" i="47" s="1"/>
  <c r="R108" i="44"/>
  <c r="K28" i="47" s="1"/>
  <c r="T108" i="44"/>
  <c r="M28" i="47" s="1"/>
  <c r="V108" i="44"/>
  <c r="O28" i="47" s="1"/>
  <c r="W108" i="44"/>
  <c r="P28" i="47" s="1"/>
  <c r="X108" i="44"/>
  <c r="Q28" i="47" s="1"/>
  <c r="AE108" i="44"/>
  <c r="X28" i="47" s="1"/>
  <c r="AF108" i="44"/>
  <c r="Y28" i="47" s="1"/>
  <c r="AG108" i="44"/>
  <c r="Z28" i="47" s="1"/>
  <c r="AH108" i="44"/>
  <c r="AA28" i="47" s="1"/>
  <c r="AJ108" i="44"/>
  <c r="AC28" i="47" s="1"/>
  <c r="K109" i="44"/>
  <c r="D29" i="47" s="1"/>
  <c r="L109" i="44"/>
  <c r="E29" i="47" s="1"/>
  <c r="Q109" i="44"/>
  <c r="J29" i="47" s="1"/>
  <c r="R109" i="44"/>
  <c r="K29" i="47" s="1"/>
  <c r="T109" i="44"/>
  <c r="M29" i="47" s="1"/>
  <c r="V109" i="44"/>
  <c r="O29" i="47" s="1"/>
  <c r="W109" i="44"/>
  <c r="P29" i="47" s="1"/>
  <c r="X109" i="44"/>
  <c r="Q29" i="47" s="1"/>
  <c r="AE109" i="44"/>
  <c r="X29" i="47" s="1"/>
  <c r="AF109" i="44"/>
  <c r="Y29" i="47" s="1"/>
  <c r="AG109" i="44"/>
  <c r="Z29" i="47" s="1"/>
  <c r="AH109" i="44"/>
  <c r="AA29" i="47" s="1"/>
  <c r="AJ109" i="44"/>
  <c r="AC29" i="47" s="1"/>
  <c r="K110" i="44"/>
  <c r="D30" i="47" s="1"/>
  <c r="L110" i="44"/>
  <c r="E30" i="47" s="1"/>
  <c r="Q110" i="44"/>
  <c r="J30" i="47" s="1"/>
  <c r="R110" i="44"/>
  <c r="K30" i="47" s="1"/>
  <c r="T110" i="44"/>
  <c r="M30" i="47" s="1"/>
  <c r="V110" i="44"/>
  <c r="O30" i="47" s="1"/>
  <c r="W110" i="44"/>
  <c r="P30" i="47" s="1"/>
  <c r="X110" i="44"/>
  <c r="Q30" i="47" s="1"/>
  <c r="AE110" i="44"/>
  <c r="X30" i="47" s="1"/>
  <c r="AF110" i="44"/>
  <c r="Y30" i="47" s="1"/>
  <c r="AG110" i="44"/>
  <c r="Z30" i="47" s="1"/>
  <c r="AH110" i="44"/>
  <c r="AA30" i="47" s="1"/>
  <c r="AJ110" i="44"/>
  <c r="AC30" i="47" s="1"/>
  <c r="J111" i="44"/>
  <c r="C31" i="47" s="1"/>
  <c r="K111" i="44"/>
  <c r="D31" i="47" s="1"/>
  <c r="L111" i="44"/>
  <c r="E31" i="47" s="1"/>
  <c r="N111" i="44"/>
  <c r="G31" i="47" s="1"/>
  <c r="O111" i="44"/>
  <c r="H31" i="47" s="1"/>
  <c r="Q111" i="44"/>
  <c r="J31" i="47" s="1"/>
  <c r="R111" i="44"/>
  <c r="K31" i="47" s="1"/>
  <c r="T111" i="44"/>
  <c r="M31" i="47" s="1"/>
  <c r="U111" i="44"/>
  <c r="N31" i="47" s="1"/>
  <c r="V111" i="44"/>
  <c r="O31" i="47" s="1"/>
  <c r="W111" i="44"/>
  <c r="P31" i="47" s="1"/>
  <c r="X111" i="44"/>
  <c r="Q31" i="47" s="1"/>
  <c r="Y111" i="44"/>
  <c r="R31" i="47" s="1"/>
  <c r="AA111" i="44"/>
  <c r="T31" i="47" s="1"/>
  <c r="AB111" i="44"/>
  <c r="U31" i="47" s="1"/>
  <c r="AD111" i="44"/>
  <c r="W31" i="47" s="1"/>
  <c r="AE111" i="44"/>
  <c r="X31" i="47" s="1"/>
  <c r="AF111" i="44"/>
  <c r="Y31" i="47" s="1"/>
  <c r="AG111" i="44"/>
  <c r="Z31" i="47" s="1"/>
  <c r="AH111" i="44"/>
  <c r="AA31" i="47" s="1"/>
  <c r="AJ111" i="44"/>
  <c r="AC31" i="47" s="1"/>
  <c r="AK111" i="44"/>
  <c r="AD31" i="47" s="1"/>
  <c r="AL111" i="44"/>
  <c r="AE31" i="47" s="1"/>
  <c r="AM111" i="44"/>
  <c r="AF31" i="47" s="1"/>
  <c r="AN111" i="44"/>
  <c r="AG31" i="47" s="1"/>
  <c r="AO111" i="44"/>
  <c r="AH31" i="47" s="1"/>
  <c r="AP111" i="44"/>
  <c r="AI31" i="47" s="1"/>
  <c r="AR111" i="44"/>
  <c r="AK31" i="47" s="1"/>
  <c r="J112" i="44"/>
  <c r="C32" i="47" s="1"/>
  <c r="K112" i="44"/>
  <c r="D32" i="47" s="1"/>
  <c r="L112" i="44"/>
  <c r="E32" i="47" s="1"/>
  <c r="N112" i="44"/>
  <c r="G32" i="47" s="1"/>
  <c r="O112" i="44"/>
  <c r="H32" i="47" s="1"/>
  <c r="Q112" i="44"/>
  <c r="J32" i="47" s="1"/>
  <c r="R112" i="44"/>
  <c r="K32" i="47" s="1"/>
  <c r="T112" i="44"/>
  <c r="M32" i="47" s="1"/>
  <c r="U112" i="44"/>
  <c r="N32" i="47" s="1"/>
  <c r="V112" i="44"/>
  <c r="O32" i="47" s="1"/>
  <c r="W112" i="44"/>
  <c r="P32" i="47" s="1"/>
  <c r="X112" i="44"/>
  <c r="Q32" i="47" s="1"/>
  <c r="Y112" i="44"/>
  <c r="R32" i="47" s="1"/>
  <c r="AA112" i="44"/>
  <c r="T32" i="47" s="1"/>
  <c r="AB112" i="44"/>
  <c r="U32" i="47" s="1"/>
  <c r="AD112" i="44"/>
  <c r="W32" i="47" s="1"/>
  <c r="AE112" i="44"/>
  <c r="X32" i="47" s="1"/>
  <c r="AF112" i="44"/>
  <c r="Y32" i="47" s="1"/>
  <c r="AG112" i="44"/>
  <c r="Z32" i="47" s="1"/>
  <c r="AH112" i="44"/>
  <c r="AA32" i="47" s="1"/>
  <c r="AJ112" i="44"/>
  <c r="AC32" i="47" s="1"/>
  <c r="AK112" i="44"/>
  <c r="AD32" i="47" s="1"/>
  <c r="AL112" i="44"/>
  <c r="AE32" i="47" s="1"/>
  <c r="AM112" i="44"/>
  <c r="AF32" i="47" s="1"/>
  <c r="AN112" i="44"/>
  <c r="AG32" i="47" s="1"/>
  <c r="AO112" i="44"/>
  <c r="AH32" i="47" s="1"/>
  <c r="AP112" i="44"/>
  <c r="AI32" i="47" s="1"/>
  <c r="AR112" i="44"/>
  <c r="AK32" i="47" s="1"/>
  <c r="Q113" i="44"/>
  <c r="J33" i="47" s="1"/>
  <c r="R113" i="44"/>
  <c r="K33" i="47" s="1"/>
  <c r="T113" i="44"/>
  <c r="M33" i="47" s="1"/>
  <c r="V113" i="44"/>
  <c r="O33" i="47" s="1"/>
  <c r="W113" i="44"/>
  <c r="P33" i="47" s="1"/>
  <c r="X113" i="44"/>
  <c r="Q33" i="47" s="1"/>
  <c r="AE113" i="44"/>
  <c r="X33" i="47" s="1"/>
  <c r="AF113" i="44"/>
  <c r="Y33" i="47" s="1"/>
  <c r="AG113" i="44"/>
  <c r="Z33" i="47" s="1"/>
  <c r="AH113" i="44"/>
  <c r="AA33" i="47" s="1"/>
  <c r="AJ113" i="44"/>
  <c r="AC33" i="47" s="1"/>
  <c r="K114" i="44"/>
  <c r="D34" i="47" s="1"/>
  <c r="L114" i="44"/>
  <c r="E34" i="47" s="1"/>
  <c r="Q114" i="44"/>
  <c r="J34" i="47" s="1"/>
  <c r="R114" i="44"/>
  <c r="K34" i="47" s="1"/>
  <c r="T114" i="44"/>
  <c r="M34" i="47" s="1"/>
  <c r="V114" i="44"/>
  <c r="O34" i="47" s="1"/>
  <c r="W114" i="44"/>
  <c r="P34" i="47" s="1"/>
  <c r="X114" i="44"/>
  <c r="Q34" i="47" s="1"/>
  <c r="AE114" i="44"/>
  <c r="X34" i="47" s="1"/>
  <c r="AF114" i="44"/>
  <c r="Y34" i="47" s="1"/>
  <c r="AG114" i="44"/>
  <c r="Z34" i="47" s="1"/>
  <c r="AH114" i="44"/>
  <c r="AA34" i="47" s="1"/>
  <c r="AJ114" i="44"/>
  <c r="AC34" i="47" s="1"/>
  <c r="K115" i="44"/>
  <c r="D35" i="47" s="1"/>
  <c r="L115" i="44"/>
  <c r="E35" i="47" s="1"/>
  <c r="Q115" i="44"/>
  <c r="J35" i="47" s="1"/>
  <c r="R115" i="44"/>
  <c r="K35" i="47" s="1"/>
  <c r="T115" i="44"/>
  <c r="M35" i="47" s="1"/>
  <c r="V115" i="44"/>
  <c r="O35" i="47" s="1"/>
  <c r="W115" i="44"/>
  <c r="P35" i="47" s="1"/>
  <c r="X115" i="44"/>
  <c r="Q35" i="47" s="1"/>
  <c r="AE115" i="44"/>
  <c r="X35" i="47" s="1"/>
  <c r="AF115" i="44"/>
  <c r="Y35" i="47" s="1"/>
  <c r="AG115" i="44"/>
  <c r="Z35" i="47" s="1"/>
  <c r="AH115" i="44"/>
  <c r="AA35" i="47" s="1"/>
  <c r="AJ115" i="44"/>
  <c r="AC35" i="47" s="1"/>
  <c r="K116" i="44"/>
  <c r="D36" i="47" s="1"/>
  <c r="L116" i="44"/>
  <c r="E36" i="47" s="1"/>
  <c r="Q116" i="44"/>
  <c r="J36" i="47" s="1"/>
  <c r="R116" i="44"/>
  <c r="K36" i="47" s="1"/>
  <c r="T116" i="44"/>
  <c r="M36" i="47" s="1"/>
  <c r="V116" i="44"/>
  <c r="O36" i="47" s="1"/>
  <c r="W116" i="44"/>
  <c r="P36" i="47" s="1"/>
  <c r="X116" i="44"/>
  <c r="Q36" i="47" s="1"/>
  <c r="AE116" i="44"/>
  <c r="X36" i="47" s="1"/>
  <c r="AF116" i="44"/>
  <c r="Y36" i="47" s="1"/>
  <c r="AG116" i="44"/>
  <c r="Z36" i="47" s="1"/>
  <c r="AH116" i="44"/>
  <c r="AA36" i="47" s="1"/>
  <c r="AJ116" i="44"/>
  <c r="AC36" i="47" s="1"/>
  <c r="AB26" i="47" l="1"/>
  <c r="J116" i="44"/>
  <c r="C36" i="47" s="1"/>
  <c r="N116" i="44"/>
  <c r="G36" i="47" s="1"/>
  <c r="J110" i="44"/>
  <c r="C30" i="47" s="1"/>
  <c r="J108" i="44"/>
  <c r="C28" i="47" s="1"/>
  <c r="J115" i="44"/>
  <c r="C35" i="47" s="1"/>
  <c r="J107" i="44"/>
  <c r="C27" i="47" s="1"/>
  <c r="N115" i="44"/>
  <c r="G35" i="47" s="1"/>
  <c r="N108" i="44"/>
  <c r="G28" i="47" s="1"/>
  <c r="N114" i="44"/>
  <c r="G34" i="47" s="1"/>
  <c r="J114" i="44"/>
  <c r="C34" i="47" s="1"/>
  <c r="J113" i="44"/>
  <c r="C33" i="47" s="1"/>
  <c r="J109" i="44"/>
  <c r="C29" i="47" s="1"/>
  <c r="O114" i="44"/>
  <c r="H34" i="47" s="1"/>
  <c r="O108" i="44"/>
  <c r="H28" i="47" s="1"/>
  <c r="N109" i="44"/>
  <c r="G29" i="47" s="1"/>
  <c r="O116" i="44"/>
  <c r="H36" i="47" s="1"/>
  <c r="O113" i="44"/>
  <c r="H33" i="47" s="1"/>
  <c r="O110" i="44"/>
  <c r="H30" i="47" s="1"/>
  <c r="O107" i="44"/>
  <c r="H27" i="47" s="1"/>
  <c r="O115" i="44"/>
  <c r="H35" i="47" s="1"/>
  <c r="O109" i="44"/>
  <c r="H29" i="47" s="1"/>
  <c r="N113" i="44"/>
  <c r="G33" i="47" s="1"/>
  <c r="N110" i="44"/>
  <c r="G30" i="47" s="1"/>
  <c r="N107" i="44"/>
  <c r="G27" i="47" s="1"/>
  <c r="AJ106" i="44"/>
  <c r="AF106" i="44"/>
  <c r="T106" i="44"/>
  <c r="AH106" i="44"/>
  <c r="V106" i="44"/>
  <c r="AE106" i="44"/>
  <c r="R106" i="44"/>
  <c r="X106" i="44"/>
  <c r="AG106" i="44"/>
  <c r="Q106" i="44"/>
  <c r="W106" i="44"/>
  <c r="O105" i="44" l="1"/>
  <c r="Y105" i="44"/>
  <c r="V26" i="47"/>
  <c r="O104" i="44"/>
  <c r="F23" i="47"/>
  <c r="Y23" i="47"/>
  <c r="K23" i="47"/>
  <c r="I23" i="47"/>
  <c r="M26" i="47"/>
  <c r="Z26" i="47"/>
  <c r="P26" i="47"/>
  <c r="J26" i="47"/>
  <c r="AA26" i="47"/>
  <c r="O26" i="47"/>
  <c r="K26" i="47"/>
  <c r="Q26" i="47"/>
  <c r="I26" i="47"/>
  <c r="X26" i="47"/>
  <c r="Y26" i="47"/>
  <c r="Z23" i="47"/>
  <c r="AC23" i="47"/>
  <c r="J23" i="47"/>
  <c r="M23" i="47"/>
  <c r="Q23" i="47"/>
  <c r="P23" i="47"/>
  <c r="L113" i="44"/>
  <c r="E33" i="47" s="1"/>
  <c r="K113" i="44"/>
  <c r="D33" i="47" s="1"/>
  <c r="U109" i="44"/>
  <c r="N29" i="47" s="1"/>
  <c r="O106" i="44"/>
  <c r="U105" i="44" s="1"/>
  <c r="J106" i="44"/>
  <c r="N106" i="44"/>
  <c r="AR113" i="44"/>
  <c r="AK33" i="47" s="1"/>
  <c r="AK116" i="44"/>
  <c r="AD36" i="47" s="1"/>
  <c r="AK114" i="44"/>
  <c r="AD34" i="47" s="1"/>
  <c r="AR109" i="44"/>
  <c r="AK29" i="47" s="1"/>
  <c r="AK109" i="44"/>
  <c r="AD29" i="47" s="1"/>
  <c r="AN110" i="44"/>
  <c r="AG30" i="47" s="1"/>
  <c r="AK108" i="44"/>
  <c r="AD28" i="47" s="1"/>
  <c r="AK115" i="44"/>
  <c r="AD35" i="47" s="1"/>
  <c r="AK107" i="44"/>
  <c r="AD27" i="47" s="1"/>
  <c r="AR110" i="44"/>
  <c r="AK30" i="47" s="1"/>
  <c r="AK110" i="44"/>
  <c r="AD30" i="47" s="1"/>
  <c r="AN109" i="44"/>
  <c r="AG29" i="47" s="1"/>
  <c r="U113" i="44"/>
  <c r="N33" i="47" s="1"/>
  <c r="AK113" i="44"/>
  <c r="AD33" i="47" s="1"/>
  <c r="F26" i="47"/>
  <c r="R25" i="47" l="1"/>
  <c r="H25" i="47"/>
  <c r="AC26" i="47"/>
  <c r="AD25" i="47" s="1"/>
  <c r="E26" i="47"/>
  <c r="D26" i="47"/>
  <c r="L106" i="44"/>
  <c r="K106" i="44"/>
  <c r="U110" i="44"/>
  <c r="N30" i="47" s="1"/>
  <c r="Y114" i="44"/>
  <c r="R34" i="47" s="1"/>
  <c r="AN114" i="44"/>
  <c r="AG34" i="47" s="1"/>
  <c r="AR114" i="44"/>
  <c r="AK34" i="47" s="1"/>
  <c r="U116" i="44"/>
  <c r="N36" i="47" s="1"/>
  <c r="G23" i="47"/>
  <c r="U114" i="44"/>
  <c r="N34" i="47" s="1"/>
  <c r="AR115" i="44"/>
  <c r="AK35" i="47" s="1"/>
  <c r="C26" i="47"/>
  <c r="G26" i="47"/>
  <c r="U108" i="44"/>
  <c r="N28" i="47" s="1"/>
  <c r="U115" i="44"/>
  <c r="N35" i="47" s="1"/>
  <c r="AN115" i="44"/>
  <c r="AG35" i="47" s="1"/>
  <c r="AB109" i="44"/>
  <c r="U29" i="47" s="1"/>
  <c r="AM109" i="44"/>
  <c r="AF29" i="47" s="1"/>
  <c r="AN113" i="44"/>
  <c r="AG33" i="47" s="1"/>
  <c r="U107" i="44"/>
  <c r="N27" i="47" s="1"/>
  <c r="AK106" i="44"/>
  <c r="AR108" i="44"/>
  <c r="AK28" i="47" s="1"/>
  <c r="Y110" i="44"/>
  <c r="R30" i="47" s="1"/>
  <c r="Y113" i="44"/>
  <c r="R33" i="47" s="1"/>
  <c r="AM113" i="44"/>
  <c r="AF33" i="47" s="1"/>
  <c r="AB113" i="44"/>
  <c r="U33" i="47" s="1"/>
  <c r="AN107" i="44"/>
  <c r="AG27" i="47" s="1"/>
  <c r="AN108" i="44"/>
  <c r="AG28" i="47" s="1"/>
  <c r="AN116" i="44"/>
  <c r="AG36" i="47" s="1"/>
  <c r="AA109" i="44"/>
  <c r="T29" i="47" s="1"/>
  <c r="AA113" i="44"/>
  <c r="T33" i="47" s="1"/>
  <c r="AR107" i="44"/>
  <c r="AK27" i="47" s="1"/>
  <c r="AR116" i="44"/>
  <c r="AK36" i="47" s="1"/>
  <c r="I107" i="44"/>
  <c r="B27" i="47" s="1"/>
  <c r="I108" i="44"/>
  <c r="B28" i="47" s="1"/>
  <c r="I109" i="44"/>
  <c r="B29" i="47" s="1"/>
  <c r="I110" i="44"/>
  <c r="B30" i="47" s="1"/>
  <c r="I111" i="44"/>
  <c r="B31" i="47" s="1"/>
  <c r="I112" i="44"/>
  <c r="B32" i="47" s="1"/>
  <c r="I113" i="44"/>
  <c r="B33" i="47" s="1"/>
  <c r="I114" i="44"/>
  <c r="B34" i="47" s="1"/>
  <c r="I115" i="44"/>
  <c r="B35" i="47" s="1"/>
  <c r="I116" i="44"/>
  <c r="B36" i="47" s="1"/>
  <c r="B25" i="47" l="1"/>
  <c r="I105" i="44"/>
  <c r="D23" i="47"/>
  <c r="H26" i="47"/>
  <c r="N25" i="47" s="1"/>
  <c r="AJ26" i="47"/>
  <c r="AD23" i="47"/>
  <c r="AB110" i="44"/>
  <c r="U30" i="47" s="1"/>
  <c r="AA110" i="44"/>
  <c r="T30" i="47" s="1"/>
  <c r="AM110" i="44"/>
  <c r="AF30" i="47" s="1"/>
  <c r="AP110" i="44"/>
  <c r="AI30" i="47" s="1"/>
  <c r="Y116" i="44"/>
  <c r="R36" i="47" s="1"/>
  <c r="AO110" i="44"/>
  <c r="AH30" i="47" s="1"/>
  <c r="AM114" i="44"/>
  <c r="AF34" i="47" s="1"/>
  <c r="Y109" i="44"/>
  <c r="R29" i="47" s="1"/>
  <c r="C23" i="47"/>
  <c r="AA116" i="44"/>
  <c r="T36" i="47" s="1"/>
  <c r="AB116" i="44"/>
  <c r="U36" i="47" s="1"/>
  <c r="AA115" i="44"/>
  <c r="T35" i="47" s="1"/>
  <c r="AA114" i="44"/>
  <c r="T34" i="47" s="1"/>
  <c r="Y108" i="44"/>
  <c r="R28" i="47" s="1"/>
  <c r="AB115" i="44"/>
  <c r="U35" i="47" s="1"/>
  <c r="AB114" i="44"/>
  <c r="U34" i="47" s="1"/>
  <c r="E23" i="47"/>
  <c r="AM115" i="44"/>
  <c r="AF35" i="47" s="1"/>
  <c r="Y115" i="44"/>
  <c r="R35" i="47" s="1"/>
  <c r="AB108" i="44"/>
  <c r="U28" i="47" s="1"/>
  <c r="AA108" i="44"/>
  <c r="T28" i="47" s="1"/>
  <c r="AM116" i="44"/>
  <c r="AF36" i="47" s="1"/>
  <c r="AB107" i="44"/>
  <c r="U27" i="47" s="1"/>
  <c r="AA107" i="44"/>
  <c r="T27" i="47" s="1"/>
  <c r="AD113" i="44"/>
  <c r="W33" i="47" s="1"/>
  <c r="AR106" i="44"/>
  <c r="AP109" i="44"/>
  <c r="AI29" i="47" s="1"/>
  <c r="Y107" i="44"/>
  <c r="R27" i="47" s="1"/>
  <c r="AM107" i="44"/>
  <c r="AF27" i="47" s="1"/>
  <c r="U106" i="44"/>
  <c r="AP113" i="44"/>
  <c r="AI33" i="47" s="1"/>
  <c r="AO109" i="44"/>
  <c r="AH29" i="47" s="1"/>
  <c r="AN106" i="44"/>
  <c r="AO113" i="44"/>
  <c r="AH33" i="47" s="1"/>
  <c r="AM108" i="44"/>
  <c r="AF28" i="47" s="1"/>
  <c r="I106" i="44"/>
  <c r="B24" i="47" l="1"/>
  <c r="R26" i="47"/>
  <c r="O23" i="47"/>
  <c r="H23" i="47"/>
  <c r="R23" i="47"/>
  <c r="AK23" i="47"/>
  <c r="AK26" i="47"/>
  <c r="AG23" i="47"/>
  <c r="AL110" i="44"/>
  <c r="AE30" i="47" s="1"/>
  <c r="AD110" i="44"/>
  <c r="W30" i="47" s="1"/>
  <c r="AP115" i="44"/>
  <c r="AI35" i="47" s="1"/>
  <c r="AO114" i="44"/>
  <c r="AH34" i="47" s="1"/>
  <c r="AP114" i="44"/>
  <c r="AI34" i="47" s="1"/>
  <c r="AD115" i="44"/>
  <c r="W35" i="47" s="1"/>
  <c r="AD114" i="44"/>
  <c r="W34" i="47" s="1"/>
  <c r="AD116" i="44"/>
  <c r="W36" i="47" s="1"/>
  <c r="AD109" i="44"/>
  <c r="W29" i="47" s="1"/>
  <c r="AD108" i="44"/>
  <c r="W28" i="47" s="1"/>
  <c r="AO115" i="44"/>
  <c r="AH35" i="47" s="1"/>
  <c r="AO116" i="44"/>
  <c r="AH36" i="47" s="1"/>
  <c r="AP116" i="44"/>
  <c r="AI36" i="47" s="1"/>
  <c r="AD107" i="44"/>
  <c r="W27" i="47" s="1"/>
  <c r="AB106" i="44"/>
  <c r="AA106" i="44"/>
  <c r="AP108" i="44"/>
  <c r="AI28" i="47" s="1"/>
  <c r="AO107" i="44"/>
  <c r="AH27" i="47" s="1"/>
  <c r="AP107" i="44"/>
  <c r="AI27" i="47" s="1"/>
  <c r="AM106" i="44"/>
  <c r="AL113" i="44"/>
  <c r="AE33" i="47" s="1"/>
  <c r="AL109" i="44"/>
  <c r="AE29" i="47" s="1"/>
  <c r="AO108" i="44"/>
  <c r="AH28" i="47" s="1"/>
  <c r="Y106" i="44"/>
  <c r="H24" i="47" l="1"/>
  <c r="R24" i="47"/>
  <c r="N24" i="47"/>
  <c r="O24" i="47"/>
  <c r="AD105" i="44"/>
  <c r="AG26" i="47"/>
  <c r="N26" i="47"/>
  <c r="S25" i="47" s="1"/>
  <c r="AL114" i="44"/>
  <c r="AE34" i="47" s="1"/>
  <c r="AL115" i="44"/>
  <c r="AE35" i="47" s="1"/>
  <c r="AL116" i="44"/>
  <c r="AE36" i="47" s="1"/>
  <c r="AL108" i="44"/>
  <c r="AE28" i="47" s="1"/>
  <c r="AD106" i="44"/>
  <c r="AO106" i="44"/>
  <c r="AL107" i="44"/>
  <c r="AE27" i="47" s="1"/>
  <c r="AP106" i="44"/>
  <c r="AL105" i="44" l="1"/>
  <c r="AD26" i="47"/>
  <c r="X23" i="47"/>
  <c r="AD24" i="47" s="1"/>
  <c r="AJ23" i="47"/>
  <c r="U26" i="47"/>
  <c r="AF26" i="47"/>
  <c r="S23" i="47"/>
  <c r="S26" i="47"/>
  <c r="T26" i="47"/>
  <c r="AF23" i="47"/>
  <c r="N23" i="47"/>
  <c r="S24" i="47" s="1"/>
  <c r="AL106" i="44"/>
  <c r="W25" i="47" l="1"/>
  <c r="W26" i="47"/>
  <c r="AH23" i="47"/>
  <c r="AI26" i="47"/>
  <c r="AI23" i="47"/>
  <c r="AH26" i="47"/>
  <c r="T23" i="47"/>
  <c r="U23" i="47"/>
  <c r="AE25" i="47" l="1"/>
  <c r="AE24" i="47"/>
  <c r="W24" i="47"/>
  <c r="AE26" i="47"/>
  <c r="AE23" i="47"/>
  <c r="W23" i="47"/>
  <c r="B26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R127" authorId="0" shapeId="0" xr:uid="{B62BF798-3D16-4DFA-8C61-820287081B82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žádost školy na ZŠ PPP</t>
        </r>
      </text>
    </comment>
    <comment ref="AG127" authorId="0" shapeId="0" xr:uid="{C1EE9FA6-A268-4CE4-ACDC-23EA9C25181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žádost školy na ZŠ PPP</t>
        </r>
      </text>
    </comment>
    <comment ref="R149" authorId="0" shapeId="0" xr:uid="{2FD26BBA-CCD2-4232-8F1E-8B5FD38DE3EF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žádost školy na ZŠ PPP</t>
        </r>
      </text>
    </comment>
    <comment ref="AG149" authorId="0" shapeId="0" xr:uid="{DBCE22FF-6603-41F5-A185-D01384685407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žádost školy na ZŠ PPP</t>
        </r>
      </text>
    </comment>
    <comment ref="R217" authorId="0" shapeId="0" xr:uid="{312F5ECD-2DD5-4526-A5F2-EB91396D73D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Vykázáno v odd. VIII P1c-01 k 30. 9. 2025 - žádost školy na převod do platů</t>
        </r>
      </text>
    </comment>
    <comment ref="AG217" authorId="0" shapeId="0" xr:uid="{B3B34BEC-0460-4AFD-A505-DB3D6386D948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Vykázáno v odd. VIII P1c-01 k 30. 9. 2025 - žádost školy na převod do platů</t>
        </r>
      </text>
    </comment>
    <comment ref="R235" authorId="0" shapeId="0" xr:uid="{53F48289-C238-45A9-9462-F4C6A2047EEC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žádost školy na ZŠ PPP</t>
        </r>
      </text>
    </comment>
    <comment ref="AG235" authorId="0" shapeId="0" xr:uid="{90442BEA-435F-4110-8A03-C0362F1F03EF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žádost školy na ZŠ PPP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T12" authorId="0" shapeId="0" xr:uid="{AC373C8C-AAB6-4A52-922B-DFF7C285BF7E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§ 42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AG74" authorId="0" shapeId="0" xr:uid="{45438CB4-8372-42D2-8A0D-97F1F8BA934E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úvazek 0,25 přepočítaný na 11 měsíců
</t>
        </r>
      </text>
    </comment>
    <comment ref="T80" authorId="0" shapeId="0" xr:uid="{BCD77EDC-E8F7-4991-AB67-C6F3F505AFAC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vzdělávání odle §42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Křiváková Kalíková Kateřina</author>
  </authors>
  <commentList>
    <comment ref="R95" authorId="0" shapeId="0" xr:uid="{6633E84D-841C-4155-95D0-F09ECCD5DAFF}">
      <text>
        <r>
          <rPr>
            <b/>
            <sz val="9"/>
            <color indexed="81"/>
            <rFont val="Tahoma"/>
            <family val="2"/>
            <charset val="238"/>
          </rPr>
          <t>Křiváková Kalíková Kateřina:</t>
        </r>
        <r>
          <rPr>
            <sz val="9"/>
            <color indexed="81"/>
            <rFont val="Tahoma"/>
            <family val="2"/>
            <charset val="238"/>
          </rPr>
          <t xml:space="preserve">
podpůrná pozice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Křiváková Kalíková Kateřina</author>
  </authors>
  <commentList>
    <comment ref="R57" authorId="0" shapeId="0" xr:uid="{CDD52E3B-C849-49C2-ACD6-199D4ABB6C18}">
      <text>
        <r>
          <rPr>
            <b/>
            <sz val="9"/>
            <color indexed="81"/>
            <rFont val="Tahoma"/>
            <family val="2"/>
            <charset val="238"/>
          </rPr>
          <t>Křiváková Kalíková Kateřina:</t>
        </r>
        <r>
          <rPr>
            <sz val="9"/>
            <color indexed="81"/>
            <rFont val="Tahoma"/>
            <family val="2"/>
            <charset val="238"/>
          </rPr>
          <t xml:space="preserve">
na základě žádosti školy snížení ph 22 hodin</t>
        </r>
      </text>
    </comment>
  </commentList>
</comments>
</file>

<file path=xl/sharedStrings.xml><?xml version="1.0" encoding="utf-8"?>
<sst xmlns="http://schemas.openxmlformats.org/spreadsheetml/2006/main" count="4575" uniqueCount="844">
  <si>
    <t>§</t>
  </si>
  <si>
    <t>FKSP</t>
  </si>
  <si>
    <t>Krajský úřad Libereckého kraje</t>
  </si>
  <si>
    <t>U Jezu 642/2a, Liberec 2, 461 80</t>
  </si>
  <si>
    <t>Odbor školství, mládeže, tělovýchovy a sportu</t>
  </si>
  <si>
    <t>Odvody</t>
  </si>
  <si>
    <t>Celkem NIV</t>
  </si>
  <si>
    <t>DDM Jablonec n. N., Podhorská 49</t>
  </si>
  <si>
    <t>DDM Jablonec n. N., Podhorská 49 Celkem</t>
  </si>
  <si>
    <t>MŠ Jablonec n. N., 28.října 16/1858</t>
  </si>
  <si>
    <t>MŠ Jablonec n. N., 28.října 16/1858 Celkem</t>
  </si>
  <si>
    <t xml:space="preserve">MŠ Jablonec n. N., Arbesova 50/3779 </t>
  </si>
  <si>
    <t>MŠ Jablonec n. N., Arbesova 50/3779  Celkem</t>
  </si>
  <si>
    <t>MŠ Jablonec n. N., Čs. armády 37</t>
  </si>
  <si>
    <t>MŠ Jablonec n. N., Čs. armády 37 Celkem</t>
  </si>
  <si>
    <t xml:space="preserve">MŠ Jablonec n. N., Dolní 3969 </t>
  </si>
  <si>
    <t>MŠ Jablonec n. N., Dolní 3969  Celkem</t>
  </si>
  <si>
    <t>MŠ Jablonec n. N., Havlíčkova 4/130</t>
  </si>
  <si>
    <t>MŠ Jablonec n. N., Havlíčkova 4/130 Celkem</t>
  </si>
  <si>
    <t>MŠ Jablonec n. N., Hřbitovní 10/3677</t>
  </si>
  <si>
    <t>MŠ Jablonec n. N., Hřbitovní 10/3677 Celkem</t>
  </si>
  <si>
    <t>MŠ Jablonec n. N., Husova 3/1444</t>
  </si>
  <si>
    <t>MŠ Jablonec n. N., Husova 3/1444 Celkem</t>
  </si>
  <si>
    <t xml:space="preserve">MŠ Jablonec n. N., J. Hory 31/4097 </t>
  </si>
  <si>
    <t>MŠ Jablonec n. N., J. Hory 31/4097  Celkem</t>
  </si>
  <si>
    <t>MŠ Jablonec n. N., Jugoslávská 13/1885</t>
  </si>
  <si>
    <t>MŠ Jablonec n. N., Jugoslávská 13/1885 Celkem</t>
  </si>
  <si>
    <t xml:space="preserve">MŠ Jablonec n. N., Lovecká 11/249 </t>
  </si>
  <si>
    <t>MŠ Jablonec n. N., Lovecká 11/249  Celkem</t>
  </si>
  <si>
    <t>MŠ Jablonec n. N., Mechová 10/3645</t>
  </si>
  <si>
    <t>MŠ Jablonec n. N., Mechová 10/3645 Celkem</t>
  </si>
  <si>
    <t xml:space="preserve">MŠ Jablonec n. N., Nová Pasířská 10/3825 </t>
  </si>
  <si>
    <t>MŠ Jablonec n. N., Nová Pasířská 10/3825 Celkem</t>
  </si>
  <si>
    <t xml:space="preserve">MŠ Jablonec n. N., Střelecká 14/1067 </t>
  </si>
  <si>
    <t>MŠ Jablonec n. N., Střelecká 14/1067  Celkem</t>
  </si>
  <si>
    <t>MŠ Jablonec n. N., Švédská 14/3494</t>
  </si>
  <si>
    <t>MŠ Jablonec n. N., Švédská 14/3494 Celkem</t>
  </si>
  <si>
    <t>MŠ Jablonec n. N., Tichá 19/3892</t>
  </si>
  <si>
    <t>MŠ Jablonec n. N., Tichá 19/3892 Celkem</t>
  </si>
  <si>
    <t xml:space="preserve">MŠ Jablonec n. N., Zámecká 10/223 </t>
  </si>
  <si>
    <t>MŠ Jablonec n. N., Zámecká 10/223  Celkem</t>
  </si>
  <si>
    <t>MŠ spec. Jablonec n. N., Palackého 37 Celkem</t>
  </si>
  <si>
    <t>ZŠ Jablonec n. N., 5. května 76</t>
  </si>
  <si>
    <t>ZŠ Jablonec n. N., 5. května 76 Celkem</t>
  </si>
  <si>
    <t>ZŠ Jablonec n. N., Arbesova 30</t>
  </si>
  <si>
    <t>ZŠ Jablonec n. N., Arbesova 30 Celkem</t>
  </si>
  <si>
    <t>ZŠ Jablonec n. N., Liberecká 26</t>
  </si>
  <si>
    <t>ZŠ Jablonec n. N., Liberecká 26 Celkem</t>
  </si>
  <si>
    <t>ZŠ Jablonec n. N., Mozartova 24</t>
  </si>
  <si>
    <t>ZŠ Jablonec n. N., Mozartova 24 Celkem</t>
  </si>
  <si>
    <t>ZŠ Jablonec n. N., Na Šumavě 43</t>
  </si>
  <si>
    <t>ZŠ Jablonec n. N., Na Šumavě 43 Celkem</t>
  </si>
  <si>
    <t>ZŠ Jablonec n. N., Pasířská 72</t>
  </si>
  <si>
    <t>ZŠ Jablonec n. N., Pasířská 72 Celkem</t>
  </si>
  <si>
    <t>ZŠ Jablonec n. N., Pivovarská 15</t>
  </si>
  <si>
    <t>ZŠ Jablonec n. N., Pivovarská 15 Celkem</t>
  </si>
  <si>
    <t>ZŠ Jablonec n. N., Pod Vodárnou 10</t>
  </si>
  <si>
    <t>ZŠ Jablonec n. N., Pod Vodárnou 10 Celkem</t>
  </si>
  <si>
    <t>ZŠ Jablonec n. N., Rychnovská 216</t>
  </si>
  <si>
    <t>ZŠ Jablonec n. N., Rychnovská 216 Celkem</t>
  </si>
  <si>
    <t>ZUŠ Jablonec n. N., Podhorská 47</t>
  </si>
  <si>
    <t>ZUŠ Jablonec n. N., Podhorská 47 Celkem</t>
  </si>
  <si>
    <t>ZŠ a MŠ Janov n. N. 374</t>
  </si>
  <si>
    <t>ZŠ a MŠ Janov n. N. 374 Celkem</t>
  </si>
  <si>
    <t>ZŠ a MŠ Josefův Důl 208</t>
  </si>
  <si>
    <t>ZŠ a MŠ Josefův Důl 208 Celkem</t>
  </si>
  <si>
    <t>MŠ Lučany n. N. 570</t>
  </si>
  <si>
    <t>MŠ Lučany n. N. 570 Celkem</t>
  </si>
  <si>
    <t>ZŠ Lučany n. N. 420</t>
  </si>
  <si>
    <t>ZŠ Lučany n. N. 420 Celkem</t>
  </si>
  <si>
    <t>MŠ Maršovice 81</t>
  </si>
  <si>
    <t>MŠ Maršovice 81 Celkem</t>
  </si>
  <si>
    <t>ZŠ a MŠ Nová Ves n. N. 264</t>
  </si>
  <si>
    <t>ZŠ a MŠ Nová Ves n. N. 264 Celkem</t>
  </si>
  <si>
    <t>MŠ Rádlo 3</t>
  </si>
  <si>
    <t>MŠ Rádlo 3 Celkem</t>
  </si>
  <si>
    <t>ZŠ Rádlo 121</t>
  </si>
  <si>
    <t xml:space="preserve">ZŠ Rádlo 121 </t>
  </si>
  <si>
    <t>ZŠ Rádlo 121 Celkem</t>
  </si>
  <si>
    <t>ZŠ a MŠ Rychnov u Jabl. n. N., Školní 488</t>
  </si>
  <si>
    <t>ZŠ a MŠ Rychnov u Jabl. n. N., Školní 488 Celkem</t>
  </si>
  <si>
    <t>MŠ Tanvald, U Školky 579</t>
  </si>
  <si>
    <t>MŠ Tanvald, U Školky 579 Celkem</t>
  </si>
  <si>
    <t>SVČ Tanvald, Protifašistických boj. 336</t>
  </si>
  <si>
    <t>SVČ Tanvald, Protifašistických boj. 336 Celkem</t>
  </si>
  <si>
    <t>ZŠ a OA Tanvald, Školní 416 Celkem</t>
  </si>
  <si>
    <t>ZŠ Tanvald, Sportovní 576</t>
  </si>
  <si>
    <t>ZŠ Tanvald, Sportovní 576 Celkem</t>
  </si>
  <si>
    <t>ZUŠ Tanvald, Nemocniční 339</t>
  </si>
  <si>
    <t>ZUŠ Tanvald, Nemocniční 339 Celkem</t>
  </si>
  <si>
    <t>ZŠ a MŠ Albrechtice v Jiz. horách 226</t>
  </si>
  <si>
    <t>ZŠ a MŠ Albrechtice v Jiz. horách 226 Celkem</t>
  </si>
  <si>
    <t>ZŠ a MŠ Desná v Jiz. horách, Krkonošská 613</t>
  </si>
  <si>
    <t>ZŠ a MŠ Desná v Jiz. horách, Krkonošská 613 Celkem</t>
  </si>
  <si>
    <t>MŠ Harrachov 419</t>
  </si>
  <si>
    <t>MŠ Harrachov 419 Celkem</t>
  </si>
  <si>
    <t xml:space="preserve">ZŠ Harrachov, Nový Svět 77 </t>
  </si>
  <si>
    <t>ZŠ Harrachov, Nový Svět 77  Celkem</t>
  </si>
  <si>
    <t>ZŠ a MŠ Kořenov 800</t>
  </si>
  <si>
    <t>ZŠ a MŠ Kořenov 800 Celkem</t>
  </si>
  <si>
    <t>MŠ Plavy 24</t>
  </si>
  <si>
    <t>MŠ Plavy 24 Celkem</t>
  </si>
  <si>
    <t>ZŠ Plavy 65</t>
  </si>
  <si>
    <t>ZŠ Plavy 65 Celkem</t>
  </si>
  <si>
    <t>MŠ Smržovka, Havlíčkova 826</t>
  </si>
  <si>
    <t>MŠ Smržovka, Havlíčkova 826 Celkem</t>
  </si>
  <si>
    <t>ZŠ Smržovka, Komenského 964</t>
  </si>
  <si>
    <t>ZŠ Smržovka, Komenského 964 Celkem</t>
  </si>
  <si>
    <t>MŠ Velké Hamry I.621 Celkem</t>
  </si>
  <si>
    <t>ZŠ a MŠ Velké Hamry II.212 Celkem</t>
  </si>
  <si>
    <t>ZŠ a MŠ Zlatá Olešnice 34</t>
  </si>
  <si>
    <t>ZŠ a MŠ Zlatá Olešnice 34 Celkem</t>
  </si>
  <si>
    <t>MŠ  Železný Brod, Na Vápence 766</t>
  </si>
  <si>
    <t>MŠ Železný Brod, Na Vápence 766</t>
  </si>
  <si>
    <t>MŠ  Železný Brod, Na Vápence 766 Celkem</t>
  </si>
  <si>
    <t>MŠ  Železný Brod, Slunečná 327</t>
  </si>
  <si>
    <t>MŠ  Železný Brod, Slunečná 327 Celkem</t>
  </si>
  <si>
    <t>MŠ Železný Brod, Stavbařů 832</t>
  </si>
  <si>
    <t>MŠ Železný Brod, Stavbařů 832 Celkem</t>
  </si>
  <si>
    <t>SVČ Mozaika Železný Brod, Jiráskovo nábřeží 366</t>
  </si>
  <si>
    <t>SVČ Mozaika Železný Brod, Jiráskovo nábřeží 366 Celkem</t>
  </si>
  <si>
    <t>ZŠ Železný Brod, Pelechovská 800</t>
  </si>
  <si>
    <t>ZŠ Železný Brod, Pelechovská 800 Celkem</t>
  </si>
  <si>
    <t>ZŠ Železný Brod, Školní 700</t>
  </si>
  <si>
    <t>ZŠ Železný Brod, Školní 700 Celkem</t>
  </si>
  <si>
    <t>ZUŠ Železný Brod, Koberovská 589</t>
  </si>
  <si>
    <t>ZUŠ Železný Brod, Koberovská 589 Celkem</t>
  </si>
  <si>
    <t>MŠ Koberovy 140</t>
  </si>
  <si>
    <t>ZŠ Koberovy 1</t>
  </si>
  <si>
    <t>ZŠ Koberovy 1 Celkem</t>
  </si>
  <si>
    <t>MŠ Pěnčín 62</t>
  </si>
  <si>
    <t>MŠ Pěnčín 62 Celkem</t>
  </si>
  <si>
    <t>ZŠ Pěnčín 22, Bratříkov</t>
  </si>
  <si>
    <t>ZŠ Pěnčín 22, Bratříkov Celkem</t>
  </si>
  <si>
    <t>ZŠ a MŠ Skuhrov, Huntířov n. J. 63</t>
  </si>
  <si>
    <t>ZŠ a MŠ Skuhrov, Huntířov n. J. 63 Celkem</t>
  </si>
  <si>
    <t>MŠ Zásada 326</t>
  </si>
  <si>
    <t>MŠ Zásada 326 Celkem</t>
  </si>
  <si>
    <t>ZŠ Zásada 264</t>
  </si>
  <si>
    <t>ZŠ Zásada 264 Celkem</t>
  </si>
  <si>
    <t>DDM Česká Lípa, Škroupovo nám. 138</t>
  </si>
  <si>
    <t>DDM Česká Lípa, Škroupovo nám. 138 Celkem</t>
  </si>
  <si>
    <t>MŠ Česká Lípa,  A.Sovy 1740</t>
  </si>
  <si>
    <t>MŠ Česká Lípa,  A.Sovy 1740 Celkem</t>
  </si>
  <si>
    <t>MŠ Česká Lípa, Arbesova 411</t>
  </si>
  <si>
    <t>MŠ Česká Lípa, Arbesova 411 Celkem</t>
  </si>
  <si>
    <t>MŠ Česká Lípa, Bratří Čapků 2864</t>
  </si>
  <si>
    <t>MŠ Česká Lípa, Bratří Čapků 2864 Celkem</t>
  </si>
  <si>
    <t>MŠ Česká Lípa, Moskevská 2434</t>
  </si>
  <si>
    <t>MŠ Česká Lípa, Moskevská 2434 Celkem</t>
  </si>
  <si>
    <t>MŠ Česká Lípa, Severní 2214</t>
  </si>
  <si>
    <t>MŠ Česká Lípa, Severní 2214 Celkem</t>
  </si>
  <si>
    <t>MŠ Česká Lípa, Svárovská 3315</t>
  </si>
  <si>
    <t>MŠ Česká Lípa, Svárovská 3315 Celkem</t>
  </si>
  <si>
    <t>MŠ Česká Lípa, Zhořelecká 2607</t>
  </si>
  <si>
    <t>MŠ Česká Lípa, Zhořelecká 2607 Celkem</t>
  </si>
  <si>
    <t>ZŠ a MŠ Česká Lípa, Jižní 1903</t>
  </si>
  <si>
    <t>ZŠ a MŠ Česká Lípa, Jižní 1903 Celkem</t>
  </si>
  <si>
    <t>ZŠ Česká Lípa, 28.října 2733</t>
  </si>
  <si>
    <t>ZŠ Česká Lípa, 28.října 2733 Celkem</t>
  </si>
  <si>
    <t>ZŠ Česká Lípa, A. Sovy 3056</t>
  </si>
  <si>
    <t>ZŠ Česká Lípa, A. Sovy 3056 Celkem</t>
  </si>
  <si>
    <t xml:space="preserve">ZŠ Česká Lípa, Mánesova 1526 </t>
  </si>
  <si>
    <t>ZŠ Česká Lípa, Mánesova 1526  Celkem</t>
  </si>
  <si>
    <t>ZŠ Česká Lípa, Partyzánská 1053</t>
  </si>
  <si>
    <t>ZŠ Česká Lípa, Partyzánská 1053 Celkem</t>
  </si>
  <si>
    <t>ZŠ Česká Lípa, Pátova 406</t>
  </si>
  <si>
    <t>ZŠ Česká Lípa, Pátova 406 Celkem</t>
  </si>
  <si>
    <t>ZŠ Česká Lípa, Školní 2520</t>
  </si>
  <si>
    <t>ZŠ Česká Lípa, Školní 2520 Celkem</t>
  </si>
  <si>
    <t>ZŠ Česká Lípa, Šluknovská 2904</t>
  </si>
  <si>
    <t>ZŠ Česká Lípa, Šluknovská 2904 Celkem</t>
  </si>
  <si>
    <t>ZŠ, Prakt. škola a MŠ Česká Lípa, Moskevská 679</t>
  </si>
  <si>
    <t>ZŠ, Prakt. škola a MŠ Česká Lípa, Moskevská 679 Celkem</t>
  </si>
  <si>
    <t>ZUŠ Česká Lípa, Arbesova 2077</t>
  </si>
  <si>
    <t>ZUŠ Česká Lípa, Arbesova 2077 Celkem</t>
  </si>
  <si>
    <t>MŠ Blíževedly 55</t>
  </si>
  <si>
    <t>MŠ Blíževedly 55 Celkem</t>
  </si>
  <si>
    <t>ZŠ a MŠ Brniště 101</t>
  </si>
  <si>
    <t>ZŠ a MŠ Brniště 101 Celkem</t>
  </si>
  <si>
    <t>MŠ Doksy, Libušina 838</t>
  </si>
  <si>
    <t>MŠ Doksy, Libušina 838 Celkem</t>
  </si>
  <si>
    <t>MŠ Doksy, Pražská 836</t>
  </si>
  <si>
    <t>MŠ Doksy, Pražská 836 Celkem</t>
  </si>
  <si>
    <t>ZŠ a MŠ Doksy-Staré Splavy, Jezerní 74</t>
  </si>
  <si>
    <t>ZŠ a MŠ Doksy-Staré Splavy, Jezerní 74 Celkem</t>
  </si>
  <si>
    <t xml:space="preserve">ZŠ Doksy, Valdštejnská 253 </t>
  </si>
  <si>
    <t>ZŠ Doksy, Valdštejnská 253  Celkem</t>
  </si>
  <si>
    <t>ZUŠ Doksy, Sokolská 299</t>
  </si>
  <si>
    <t>ZUŠ Doksy, Sokolská 299 Celkem</t>
  </si>
  <si>
    <t>MŠ Dubá, Luční 28</t>
  </si>
  <si>
    <t>MŠ Dubá, Luční 28 Celkem</t>
  </si>
  <si>
    <t>ZŠ Dubá, Dlouhá 113</t>
  </si>
  <si>
    <t>ZŠ Dubá, Dlouhá 113 Celkem</t>
  </si>
  <si>
    <t>ZŠ a MŠ Dubnice 240</t>
  </si>
  <si>
    <t>ZŠ a MŠ Dubnice 240 Celkem</t>
  </si>
  <si>
    <t>ZŠ a MŠ Holany 45 Celkem</t>
  </si>
  <si>
    <t>ZŠ a MŠ Horní Libchava 196</t>
  </si>
  <si>
    <t>ZŠ a MŠ Horní Libchava 196 Celkem</t>
  </si>
  <si>
    <t>MŠ Horní Police, Křižíkova 183</t>
  </si>
  <si>
    <t>MŠ Horní Police, Křižíkova 183 Celkem</t>
  </si>
  <si>
    <t>ZŠ Horní Police, 9. května 2</t>
  </si>
  <si>
    <t>ZŠ Horní Police, 9. května 2 Celkem</t>
  </si>
  <si>
    <t>ZŠ a MŠ Jestřebí 105</t>
  </si>
  <si>
    <t>ZŠ a MŠ Jestřebí 105 Celkem</t>
  </si>
  <si>
    <t>MŠ Kravaře, Úštěcká 43</t>
  </si>
  <si>
    <t>MŠ Kravaře, Úštěcká 43 Celkem</t>
  </si>
  <si>
    <t>ZŠ Kravaře, Školní 115</t>
  </si>
  <si>
    <t>ZŠ Kravaře, Školní 115 Celkem</t>
  </si>
  <si>
    <t>ZŠ a MŠ Mimoň, Mírová 81 Celkem</t>
  </si>
  <si>
    <t>ZUŠ Mimoň, Mírová 119</t>
  </si>
  <si>
    <t>ZUŠ Mimoň, Mírová 119 Celkem</t>
  </si>
  <si>
    <t>MŠ Noviny pod Ralskem 116</t>
  </si>
  <si>
    <t>MŠ Noviny pod Ralskem 116 Celkem</t>
  </si>
  <si>
    <t>ZŠ a MŠ Nový Oldřichov 86</t>
  </si>
  <si>
    <t>ZŠ a MŠ Nový Oldřichov 86 Celkem</t>
  </si>
  <si>
    <t>ZŠ a MŠ Okna 3</t>
  </si>
  <si>
    <t>ZŠ a MŠ Okna 3 Celkem</t>
  </si>
  <si>
    <t>MŠ Provodín 1</t>
  </si>
  <si>
    <t>MŠ Provodín 1 Celkem</t>
  </si>
  <si>
    <t>ZŠ a MŠ Ralsko-Kuřivody 700</t>
  </si>
  <si>
    <t>ZŠ a MŠ Ralsko-Kuřivody 700 Celkem</t>
  </si>
  <si>
    <t>MŠ Sosnová 49</t>
  </si>
  <si>
    <t>MŠ Sosnová 49 Celkem</t>
  </si>
  <si>
    <t>ZŠ a MŠ Stráž p. R., Pionýrů 141</t>
  </si>
  <si>
    <t>ZŠ a MŠ Stráž p. R., Pionýrů 141 Celkem</t>
  </si>
  <si>
    <t>ZŠ a MŠ Volfartice 81</t>
  </si>
  <si>
    <t>ZŠ a MŠ Volfartice 81 Celkem</t>
  </si>
  <si>
    <t>ZŠ a MŠ Zahrádky u Č. L. 19</t>
  </si>
  <si>
    <t>ZŠ a MŠ Zahrádky u Č. L. 19 Celkem</t>
  </si>
  <si>
    <t>ZŠ a MŠ Zákupy, Školní 347</t>
  </si>
  <si>
    <t>ZŠ a MŠ Zákupy, Školní 347 Celkem</t>
  </si>
  <si>
    <t>ZŠ a MŠ Žandov, Kostelní 200</t>
  </si>
  <si>
    <t>ZŠ a MŠ Žandov, Kostelní 200 Celkem</t>
  </si>
  <si>
    <t>ZUŠ Žandov, Dlouhá 121</t>
  </si>
  <si>
    <t>ZUŠ Žandov, Dlouhá 121 Celkem</t>
  </si>
  <si>
    <t>SUMÁŘ</t>
  </si>
  <si>
    <t xml:space="preserve">PO III </t>
  </si>
  <si>
    <t>LB</t>
  </si>
  <si>
    <t>FR</t>
  </si>
  <si>
    <t>JN</t>
  </si>
  <si>
    <t>TA</t>
  </si>
  <si>
    <t>ŽB</t>
  </si>
  <si>
    <t>ČL</t>
  </si>
  <si>
    <t>NB</t>
  </si>
  <si>
    <t>SM</t>
  </si>
  <si>
    <t>JI</t>
  </si>
  <si>
    <t>TU</t>
  </si>
  <si>
    <t>Celkem</t>
  </si>
  <si>
    <t>kontrolní</t>
  </si>
  <si>
    <t>IČO</t>
  </si>
  <si>
    <t>druh činnosti</t>
  </si>
  <si>
    <t>RED_IZO</t>
  </si>
  <si>
    <t>ICO</t>
  </si>
  <si>
    <t>NIV_CELKEM</t>
  </si>
  <si>
    <t>Platy_CELKEM</t>
  </si>
  <si>
    <t>ODVODY_CELKEM</t>
  </si>
  <si>
    <t>FKSP_CELKEM</t>
  </si>
  <si>
    <t>ZAM_CELKEM</t>
  </si>
  <si>
    <t>Platy</t>
  </si>
  <si>
    <t>OON_CELKEM</t>
  </si>
  <si>
    <t>rozpočet sestavil</t>
  </si>
  <si>
    <t>MŠMT</t>
  </si>
  <si>
    <t>KÚ</t>
  </si>
  <si>
    <t>MŠ Jablonec n. N., Palackého 37</t>
  </si>
  <si>
    <t>OON</t>
  </si>
  <si>
    <t xml:space="preserve">FKSP          </t>
  </si>
  <si>
    <t>převody (platy-dohody)</t>
  </si>
  <si>
    <t>Podpůrná opatření</t>
  </si>
  <si>
    <t>Individuální úpravy</t>
  </si>
  <si>
    <t>Převody do OON</t>
  </si>
  <si>
    <t xml:space="preserve">Dohody </t>
  </si>
  <si>
    <t>Odstupné</t>
  </si>
  <si>
    <t>ODV_UPR</t>
  </si>
  <si>
    <t>FKSP_UPR</t>
  </si>
  <si>
    <t>Úprava NIV celkem</t>
  </si>
  <si>
    <t>NIV_UPR</t>
  </si>
  <si>
    <t>MŠ</t>
  </si>
  <si>
    <t>PO</t>
  </si>
  <si>
    <t>AP spec.tř.</t>
  </si>
  <si>
    <t>ZŠ</t>
  </si>
  <si>
    <t>ZUŠ</t>
  </si>
  <si>
    <t>ŠK</t>
  </si>
  <si>
    <t>SVČ</t>
  </si>
  <si>
    <t xml:space="preserve">PO </t>
  </si>
  <si>
    <t>SŠ</t>
  </si>
  <si>
    <t>AP SŠ</t>
  </si>
  <si>
    <t>DDM Nový Bor, Smetanova 387</t>
  </si>
  <si>
    <t>DDM Nový Bor, Smetanova 387 Celkem</t>
  </si>
  <si>
    <t>MŠ Nový Bor, Svojsíkova 754</t>
  </si>
  <si>
    <t xml:space="preserve">MŠ </t>
  </si>
  <si>
    <t>MŠ Nový Bor, Svojsíkova 754 Celkem</t>
  </si>
  <si>
    <t>600074943</t>
  </si>
  <si>
    <t>ZŠ Nový Bor, B. Němcové 539</t>
  </si>
  <si>
    <t xml:space="preserve">ZŠ 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</si>
  <si>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</si>
  <si>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</si>
  <si>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</si>
  <si>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</si>
  <si>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</si>
  <si>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</si>
  <si>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</si>
  <si>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</si>
  <si>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</si>
  <si>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</si>
  <si>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</si>
  <si>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</si>
  <si>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</si>
  <si>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</si>
  <si>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 Cvikov, Sad 5. května 130/I</t>
  </si>
  <si>
    <t xml:space="preserve">ZŠ  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</si>
  <si>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</si>
  <si>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</si>
  <si>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</si>
  <si>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</si>
  <si>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</si>
  <si>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</si>
  <si>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</si>
  <si>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 xml:space="preserve">MŠ  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</si>
  <si>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</si>
  <si>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</si>
  <si>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</si>
  <si>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</si>
  <si>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</si>
  <si>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</si>
  <si>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</si>
  <si>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</si>
  <si>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</si>
  <si>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</si>
  <si>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</si>
  <si>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</si>
  <si>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</si>
  <si>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</si>
  <si>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</si>
  <si>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</si>
  <si>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</si>
  <si>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MŠ Semily, Na Olešce 433</t>
  </si>
  <si>
    <t>MŠ Semily, Na Olešce 433 Celkem</t>
  </si>
  <si>
    <t>MŠ Semily, Pekárenská 468</t>
  </si>
  <si>
    <t>MŠ Semily, Pekárenská 468 Celkem</t>
  </si>
  <si>
    <t>MŠ Semily, Pod Vartou 609 Celkem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</si>
  <si>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</si>
  <si>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</si>
  <si>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</si>
  <si>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</si>
  <si>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</si>
  <si>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</si>
  <si>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</si>
  <si>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</si>
  <si>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</si>
  <si>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</si>
  <si>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</si>
  <si>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</si>
  <si>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</si>
  <si>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</si>
  <si>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</si>
  <si>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</si>
  <si>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</si>
  <si>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</si>
  <si>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</si>
  <si>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</si>
  <si>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</si>
  <si>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</si>
  <si>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</si>
  <si>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</si>
  <si>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</si>
  <si>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</si>
  <si>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</si>
  <si>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</si>
  <si>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</si>
  <si>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</si>
  <si>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 Lomnice n. P., Komenského 1037</t>
  </si>
  <si>
    <t xml:space="preserve">SVČ </t>
  </si>
  <si>
    <t>SVČ  Lomnice n. P., Komenského 1037 Celkem</t>
  </si>
  <si>
    <t>MŠ Lomnice n. P., Bezručova 1534</t>
  </si>
  <si>
    <t>MŠ Lomnice n. P., Bezručova 1534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</si>
  <si>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</si>
  <si>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</si>
  <si>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</si>
  <si>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</si>
  <si>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</si>
  <si>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</si>
  <si>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</si>
  <si>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 xml:space="preserve">ZUŠ 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</si>
  <si>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</si>
  <si>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</si>
  <si>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</si>
  <si>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</si>
  <si>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</si>
  <si>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</si>
  <si>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</si>
  <si>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</si>
  <si>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</si>
  <si>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</si>
  <si>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</si>
  <si>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</si>
  <si>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</si>
  <si>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ZŠ Jilemnice, Jana Harracha 97</t>
  </si>
  <si>
    <t>ZŠ Jilemnice, Jana Harracha 97 Celkem</t>
  </si>
  <si>
    <t>ZŠ Jilemnice, Komenského 288</t>
  </si>
  <si>
    <t xml:space="preserve">ŠK </t>
  </si>
  <si>
    <t>ZŠ Jilemnice, Komenského 288 Celkem</t>
  </si>
  <si>
    <t>ZUŠ Jilemnice, Valdštejnská 216</t>
  </si>
  <si>
    <t>ZUŠ Jilemnice, Valdštejnská 216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</si>
  <si>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</si>
  <si>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</si>
  <si>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</si>
  <si>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</si>
  <si>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</si>
  <si>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</si>
  <si>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</si>
  <si>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</si>
  <si>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</si>
  <si>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</si>
  <si>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</si>
  <si>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</si>
  <si>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</si>
  <si>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</si>
  <si>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</si>
  <si>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</si>
  <si>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</si>
  <si>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</si>
  <si>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</si>
  <si>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</si>
  <si>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Horní Rokytnice 555</t>
  </si>
  <si>
    <t>MŠ Rokytnice n. J., Horní Rokytnice 555 Celkem</t>
  </si>
  <si>
    <t>ZŠ a MŠ Roztoky u Jilemnice 190</t>
  </si>
  <si>
    <t>ZŠ a MŠ Roztoky u Jilemnice 190 Celkem</t>
  </si>
  <si>
    <t>ZŠ a MŠ Studenec 367</t>
  </si>
  <si>
    <t xml:space="preserve"> ŠK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</si>
  <si>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</si>
  <si>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</si>
  <si>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</si>
  <si>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</si>
  <si>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</si>
  <si>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</si>
  <si>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</si>
  <si>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</si>
  <si>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</si>
  <si>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</si>
  <si>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</si>
  <si>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</si>
  <si>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</si>
  <si>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</si>
  <si>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</si>
  <si>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</si>
  <si>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</si>
  <si>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</si>
  <si>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</si>
  <si>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</si>
  <si>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</si>
  <si>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</si>
  <si>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</si>
  <si>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</si>
  <si>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</si>
  <si>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</si>
  <si>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</si>
  <si>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</si>
  <si>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</si>
  <si>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</si>
  <si>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</si>
  <si>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</si>
  <si>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</si>
  <si>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</si>
  <si>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</si>
  <si>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</si>
  <si>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</si>
  <si>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</si>
  <si>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</si>
  <si>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</si>
  <si>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</si>
  <si>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32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</si>
  <si>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</si>
  <si>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</si>
  <si>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</si>
  <si>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</si>
  <si>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</si>
  <si>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</si>
  <si>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</si>
  <si>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</si>
  <si>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</si>
  <si>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</si>
  <si>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</si>
  <si>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</si>
  <si>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</si>
  <si>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</si>
  <si>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</si>
  <si>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</si>
  <si>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</si>
  <si>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</si>
  <si>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</si>
  <si>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</si>
  <si>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</si>
  <si>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</si>
  <si>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</si>
  <si>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</si>
  <si>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</si>
  <si>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</si>
  <si>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</si>
  <si>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</si>
  <si>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</si>
  <si>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</si>
  <si>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</si>
  <si>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</si>
  <si>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</si>
  <si>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</si>
  <si>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</si>
  <si>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</si>
  <si>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</si>
  <si>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</si>
  <si>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</si>
  <si>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ZŠ spec.</t>
  </si>
  <si>
    <t>č. KÚ</t>
  </si>
  <si>
    <t>RED IZO</t>
  </si>
  <si>
    <t>por</t>
  </si>
  <si>
    <t>c_KU</t>
  </si>
  <si>
    <t>Zkr_nazev</t>
  </si>
  <si>
    <t>druh_cinnosti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</si>
  <si>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</si>
  <si>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</si>
  <si>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</si>
  <si>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</si>
  <si>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</si>
  <si>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</si>
  <si>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</si>
  <si>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</si>
  <si>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</si>
  <si>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</si>
  <si>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</si>
  <si>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</si>
  <si>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</si>
  <si>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</si>
  <si>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</si>
  <si>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</si>
  <si>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</si>
  <si>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</si>
  <si>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</si>
  <si>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</si>
  <si>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</si>
  <si>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</si>
  <si>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</si>
  <si>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</si>
  <si>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</si>
  <si>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</si>
  <si>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</si>
  <si>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</si>
  <si>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</si>
  <si>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</si>
  <si>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</si>
  <si>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</si>
  <si>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</si>
  <si>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</si>
  <si>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</si>
  <si>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</si>
  <si>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</si>
  <si>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</si>
  <si>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</si>
  <si>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</si>
  <si>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</si>
  <si>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</si>
  <si>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</si>
  <si>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</si>
  <si>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</si>
  <si>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</si>
  <si>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</si>
  <si>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</si>
  <si>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</si>
  <si>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</si>
  <si>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</si>
  <si>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</si>
  <si>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</si>
  <si>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</si>
  <si>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</si>
  <si>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</si>
  <si>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</si>
  <si>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</si>
  <si>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</si>
  <si>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</si>
  <si>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</si>
  <si>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</si>
  <si>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</si>
  <si>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</si>
  <si>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</si>
  <si>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</si>
  <si>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</si>
  <si>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</si>
  <si>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</si>
  <si>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</si>
  <si>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</si>
  <si>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</si>
  <si>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</si>
  <si>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</si>
  <si>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</si>
  <si>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</si>
  <si>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</si>
  <si>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</si>
  <si>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</si>
  <si>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</si>
  <si>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</si>
  <si>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</si>
  <si>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</si>
  <si>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</si>
  <si>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</si>
  <si>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</si>
  <si>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</si>
  <si>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</si>
  <si>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</si>
  <si>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</si>
  <si>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</si>
  <si>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</si>
  <si>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</si>
  <si>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</si>
  <si>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</si>
  <si>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</si>
  <si>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</si>
  <si>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</si>
  <si>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</si>
  <si>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</si>
  <si>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</si>
  <si>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</si>
  <si>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</si>
  <si>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</si>
  <si>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</si>
  <si>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</si>
  <si>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</si>
  <si>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</si>
  <si>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</si>
  <si>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</si>
  <si>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</si>
  <si>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</si>
  <si>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</si>
  <si>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</si>
  <si>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</si>
  <si>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</si>
  <si>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</si>
  <si>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</si>
  <si>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</si>
  <si>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</si>
  <si>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</si>
  <si>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</si>
  <si>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</si>
  <si>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</si>
  <si>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</si>
  <si>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</si>
  <si>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</si>
  <si>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</si>
  <si>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</si>
  <si>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</si>
  <si>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</si>
  <si>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</si>
  <si>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</si>
  <si>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</si>
  <si>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</si>
  <si>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</si>
  <si>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</si>
  <si>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</si>
  <si>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</si>
  <si>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</si>
  <si>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</si>
  <si>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</si>
  <si>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</si>
  <si>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</si>
  <si>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</si>
  <si>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</si>
  <si>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</si>
  <si>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</si>
  <si>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</si>
  <si>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</si>
  <si>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</si>
  <si>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</si>
  <si>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</si>
  <si>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</si>
  <si>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</si>
  <si>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</si>
  <si>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</si>
  <si>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</si>
  <si>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</si>
  <si>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</si>
  <si>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</si>
  <si>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</si>
  <si>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</si>
  <si>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</si>
  <si>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Celkem za PO III Liberec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</si>
  <si>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</si>
  <si>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</si>
  <si>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</si>
  <si>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</si>
  <si>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</si>
  <si>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</si>
  <si>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</si>
  <si>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</si>
  <si>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</si>
  <si>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</si>
  <si>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</si>
  <si>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</si>
  <si>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</si>
  <si>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</si>
  <si>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</si>
  <si>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</si>
  <si>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</si>
  <si>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</si>
  <si>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</si>
  <si>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</si>
  <si>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</si>
  <si>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</si>
  <si>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</si>
  <si>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</si>
  <si>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</si>
  <si>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</si>
  <si>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</si>
  <si>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</si>
  <si>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</si>
  <si>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</si>
  <si>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</si>
  <si>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</si>
  <si>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</si>
  <si>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</si>
  <si>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</si>
  <si>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</si>
  <si>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</si>
  <si>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</si>
  <si>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Celkem za PO III Frýdlant</t>
  </si>
  <si>
    <t>OON úprava celkem</t>
  </si>
  <si>
    <t>SUMÁŘ - PO III LIBEREC</t>
  </si>
  <si>
    <t>SUMÁŘ - PO III FRÝDLANT</t>
  </si>
  <si>
    <t>od</t>
  </si>
  <si>
    <t>Celkem za PO III Jablonec nad Nisou</t>
  </si>
  <si>
    <t>Celkem za PO III Tanvald</t>
  </si>
  <si>
    <t>Celkem za PO III Železný Brod</t>
  </si>
  <si>
    <t>poř.</t>
  </si>
  <si>
    <t>Celkem za PO III Česká Lípa</t>
  </si>
  <si>
    <t>škola - škol. zařízení (zkráceně)</t>
  </si>
  <si>
    <t>Celkem za PO III Nový Bor</t>
  </si>
  <si>
    <t>Celkem za PO III Semily</t>
  </si>
  <si>
    <t>Celkem za PO III Jilemnice</t>
  </si>
  <si>
    <t>Celkem za PO III Turnov</t>
  </si>
  <si>
    <t>ZŠ Jablonné v Podj., Komenského 453</t>
  </si>
  <si>
    <t>09360379</t>
  </si>
  <si>
    <t>ZŠ a ZUŠ Hrádek n. N., Komenského 478</t>
  </si>
  <si>
    <t>ZŠ a ZUŠ Hrádek n. N., Komenského 478 Celkem</t>
  </si>
  <si>
    <t>Masarykova ZŠ Tanvald, Školní 416</t>
  </si>
  <si>
    <t xml:space="preserve">AP ŠD </t>
  </si>
  <si>
    <t>MŠ Jilemnice, Roztocká 994</t>
  </si>
  <si>
    <t>MŠ Všelibice 100</t>
  </si>
  <si>
    <t>MŠ Všelibice 100 Celkem</t>
  </si>
  <si>
    <t>PO III JABLONEC NAD NISOU</t>
  </si>
  <si>
    <t>PO III TANVALD</t>
  </si>
  <si>
    <t>PO III ŽELEZNÝ BROD</t>
  </si>
  <si>
    <t>PO III ČESKÁ LÍPA</t>
  </si>
  <si>
    <t>PO III NOVÝ BOR</t>
  </si>
  <si>
    <t>PO III SEMILY</t>
  </si>
  <si>
    <t>PO III JILEMNICE</t>
  </si>
  <si>
    <t>PO III TURNOV</t>
  </si>
  <si>
    <t>z toho v Kč:</t>
  </si>
  <si>
    <t xml:space="preserve">MŠ Šimonovice 482 </t>
  </si>
  <si>
    <t>MŠ Šimonovice 482 Celkem</t>
  </si>
  <si>
    <t>ZŠ Jablonné v Podj., Komenského 453 Celkem</t>
  </si>
  <si>
    <t>ZŠ a MŠ Stružnice 69</t>
  </si>
  <si>
    <t>ZŠ a MŠ Stružnice 69 Celkem</t>
  </si>
  <si>
    <t>MŠ Treperka a waldorfská Semily, Pod Vartou 858</t>
  </si>
  <si>
    <t xml:space="preserve">ZŠ a MŠ Stružnice 69 </t>
  </si>
  <si>
    <t>ZŠ a MŠ Holany 93</t>
  </si>
  <si>
    <t>Jazyková příprava cizinců</t>
  </si>
  <si>
    <t>PLATY úprava celkem</t>
  </si>
  <si>
    <t>ZŠ a MŠ Benecko 150</t>
  </si>
  <si>
    <t>ZŠ a MŠ Benecko 150 Celkem</t>
  </si>
  <si>
    <t xml:space="preserve"> </t>
  </si>
  <si>
    <t>ZŠ a MŠ Křižany, Žibřidice 271</t>
  </si>
  <si>
    <t>ZŠ a MŠ Křižany, Žibřidice 271 Celkem</t>
  </si>
  <si>
    <t>Základní škola a Středisko volného času, Rokytnice nad Jizerou, příspěvková organizace</t>
  </si>
  <si>
    <t>Základní škola a Středisko volného času, Rokytnice nad Jizerou, celkem</t>
  </si>
  <si>
    <t>ŠD AP.spec</t>
  </si>
  <si>
    <t>ZŠ a MŠ Mimoň</t>
  </si>
  <si>
    <t>ÚPRAVA PLATY</t>
  </si>
  <si>
    <t>ÚPRAVA OON</t>
  </si>
  <si>
    <t>Upr_MP_Celkem</t>
  </si>
  <si>
    <t>Platy_Upr</t>
  </si>
  <si>
    <t>OON_Upr</t>
  </si>
  <si>
    <t>MŠ Velké Hamry</t>
  </si>
  <si>
    <t xml:space="preserve">ZŠ Velké Hamry </t>
  </si>
  <si>
    <t xml:space="preserve">ZŠ Horní Police, 9. května 2 </t>
  </si>
  <si>
    <r>
      <t>ZŠ a MŠ Benecko 150</t>
    </r>
    <r>
      <rPr>
        <sz val="8"/>
        <color indexed="10"/>
        <rFont val="Arial"/>
        <family val="2"/>
        <charset val="238"/>
      </rPr>
      <t xml:space="preserve"> </t>
    </r>
  </si>
  <si>
    <t>MŠ Studánka, Jablonné v Podj., U Školy 194</t>
  </si>
  <si>
    <t>MŠ Studánka, Jablonné v Podj., U Školy 194 Celkem</t>
  </si>
  <si>
    <t>Vážená paní ředitelko, vážený pane řediteli,</t>
  </si>
  <si>
    <t>Zpracoval: OŠMTS KÚ LK, oddělení financování přímých nákladů</t>
  </si>
  <si>
    <t>Lesní mateřská škola Jablonec n. N. - Proseč n. N.</t>
  </si>
  <si>
    <t>Lesní mateřská škola Jablonec n. N. - Proseč n. N. Celkem</t>
  </si>
  <si>
    <t xml:space="preserve">Podpůrná opatření </t>
  </si>
  <si>
    <t>Platy_Upr_</t>
  </si>
  <si>
    <t>Změna PHškoly</t>
  </si>
  <si>
    <t>Dohodovací řízení</t>
  </si>
  <si>
    <t xml:space="preserve">OON do Phmax </t>
  </si>
  <si>
    <t>Mzdové prostředky celkem</t>
  </si>
  <si>
    <t xml:space="preserve">ŠD </t>
  </si>
  <si>
    <t>ŠD</t>
  </si>
  <si>
    <t xml:space="preserve">MŠ Velké Hamry </t>
  </si>
  <si>
    <t xml:space="preserve">MŠ a ZŠ Turnov, Kosmonautů 1641 </t>
  </si>
  <si>
    <t>Úprava PED. celkem</t>
  </si>
  <si>
    <t>ZŠ PPP</t>
  </si>
  <si>
    <t>Počet PEDAG.</t>
  </si>
  <si>
    <t>Normativní rozpis rozpočtu na rok 2026</t>
  </si>
  <si>
    <t>OBV</t>
  </si>
  <si>
    <t>OBV_UPR</t>
  </si>
  <si>
    <t>OBV_CELKEM</t>
  </si>
  <si>
    <t>Změna Phškoly/   podpůrné pozice</t>
  </si>
  <si>
    <t>Dále Vám předkládáme úpravu rozpisu rozpočtu přímých NIV, která obsahuje:</t>
  </si>
  <si>
    <t>1)</t>
  </si>
  <si>
    <t>2)</t>
  </si>
  <si>
    <t>3)</t>
  </si>
  <si>
    <t>Pozn.:</t>
  </si>
  <si>
    <t>Rozdíl požadavku bude dorovnán po obdržení zvýšených závazných úkazatelů ze strany MŠMT.</t>
  </si>
  <si>
    <t>4)</t>
  </si>
  <si>
    <t>5)</t>
  </si>
  <si>
    <t>6)</t>
  </si>
  <si>
    <t xml:space="preserve">zvýšení rozpočtu na bezplatnou jazykovou přípravu organizovanou podle § 10 a § 11 vyhlášky 48/2005 Sb. dle předložených požadavků </t>
  </si>
  <si>
    <t>7)</t>
  </si>
  <si>
    <t>a rozpis dalších finančních prostředků stanovených krajským úřadem na rok 2026 (školní kluby a střediska volného času).</t>
  </si>
  <si>
    <t>100 % OON (dohody) na hodiny do PHMax - hodiny vykázané v odd. VIII. výkazu P1c-01 k 30. 9. 2025, prostředky jsou přiděleny na celorok</t>
  </si>
  <si>
    <t>s hodinovou dotací ZŠ - 695 Kč/hod, MŠ - 410 Kč/hod a ŠD - 365 Kč/hod, SŠ - 745 Kč/hod;</t>
  </si>
  <si>
    <t>přesuny z prostředků na platy do OON (dohody) na základě požadavků ze škol k termínu sběru 19. 2. 2026;</t>
  </si>
  <si>
    <t>na počet hodin od tzv. "určených škol" na období leden - červen 2026 s hodinovou dotací 695 Kč/hod;</t>
  </si>
  <si>
    <t>úprava</t>
  </si>
  <si>
    <t>individuální úpravy rozpočtu na základě jednotek rozhodných pro rozpis finančních prostředků.</t>
  </si>
  <si>
    <t>dofinancování finančních prostředků na podpůrné pozice (psychology a speciální pedagogy) dle předložených požadavků;</t>
  </si>
  <si>
    <t>ZŠ  PPP</t>
  </si>
  <si>
    <t>PED_UPR</t>
  </si>
  <si>
    <t>PED_CELKEM</t>
  </si>
  <si>
    <r>
      <t>ÚPRAVA POČTU PEDAGOG</t>
    </r>
    <r>
      <rPr>
        <b/>
        <sz val="10"/>
        <rFont val="Aptos Narrow"/>
        <family val="2"/>
      </rPr>
      <t>Ů</t>
    </r>
  </si>
  <si>
    <t>Na základě rozhodnutí MŠMT nebude povinná výuka plavání na základních školách finančně podpořena nad rámec Phmax ze státního rozpočtu,</t>
  </si>
  <si>
    <t xml:space="preserve">položka OBV (ostatní běžné výdaje) je tedy v nulové výši. </t>
  </si>
  <si>
    <t>K financování výuky plavání formou služby je možné využít případné úspory na odvodech na pojistném a sociálním zabezpečení.</t>
  </si>
  <si>
    <t>PO k 1.2.2026</t>
  </si>
  <si>
    <t>předkládáme Vám roční výši rozpočtu přímých nákladů pro školy a školní družiny stanovených z MŠMT na rok 2026</t>
  </si>
  <si>
    <t>navýšení rozpočtu o prostředky na personální podpůrná opatření (PO) podle stavu PO k 1. 1. 2026 a sběr leden, tj. stav PO k 1.2.2026, (případně korekce vykázaných PO);</t>
  </si>
  <si>
    <t>Vzhledem k výši rezervy na platy nebyly prozatím zohledněny sběry měsíců: únor a březen, tj. PO k 1.3. a 1.4.2026, (případně korekce vykázaných PO za tyto sběry)</t>
  </si>
  <si>
    <t>zvýšení rozpočtu - řešení § 42 ŠZ, prostředky přiděleny na 8 měsíců na aktuální školní rok - do 31. 8. 2026</t>
  </si>
  <si>
    <t xml:space="preserve">Z důvodu nedostatku finančních prostředků nebyly zatím školám přiděleny prostředky na odstupné, </t>
  </si>
  <si>
    <t>v případě prokázání nároku bude přiděleno po navýšení ukazatele OON z MŠMT.</t>
  </si>
  <si>
    <t>V Liberci dne 7. 5. 2026</t>
  </si>
  <si>
    <t>Rozpočet přímých nákladů k 7. 5. 2026</t>
  </si>
  <si>
    <t>Rozpis rozpočtu přímých NIV na rok 2026</t>
  </si>
  <si>
    <t>Komentář k rozpisu rozpočtu přímých NIV k 7. 5. 2026  (obecní školství)</t>
  </si>
  <si>
    <t>Vzhledem k výši rezervy na OON bylo nutno krátit požadavky na OON (dohody) na 60% jejich výše. Vyjma škol ORP Liberec, zde je požadavek pokryt ve 100% výši.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</si>
</sst>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 CE"/>
      <charset val="238"/>
    </font>
    <font>
      <sz val="8"/>
      <name val="Arial CE"/>
    </font>
    <font>
      <b/>
      <sz val="8"/>
      <name val="Arial CE"/>
    </font>
    <font>
      <sz val="8"/>
      <color indexed="8"/>
      <name val="Arial CE"/>
    </font>
    <font>
      <b/>
      <sz val="8"/>
      <color indexed="8"/>
      <name val="Arial CE"/>
    </font>
    <font>
      <sz val="8"/>
      <color indexed="8"/>
      <name val="Arial CE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11"/>
      <name val="Calibri"/>
      <family val="2"/>
      <charset val="238"/>
    </font>
    <font>
      <b/>
      <sz val="8"/>
      <color indexed="8"/>
      <name val="Arial CE"/>
      <charset val="238"/>
    </font>
    <font>
      <b/>
      <u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17" fillId="0" borderId="0" applyFont="0" applyFill="0" applyBorder="0" applyAlignment="0" applyProtection="0"/>
    <xf numFmtId="0" fontId="17" fillId="0" borderId="0"/>
    <xf numFmtId="0" fontId="7" fillId="0" borderId="0"/>
    <xf numFmtId="0" fontId="12" fillId="0" borderId="0"/>
    <xf numFmtId="0" fontId="6" fillId="0" borderId="0"/>
    <xf numFmtId="0" fontId="39" fillId="0" borderId="0"/>
    <xf numFmtId="0" fontId="12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75">
    <xf numFmtId="0" fontId="0" fillId="0" borderId="0" xfId="0"/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8" fillId="0" borderId="0" xfId="0" applyFont="1"/>
    <xf numFmtId="0" fontId="9" fillId="0" borderId="0" xfId="0" applyFont="1"/>
    <xf numFmtId="0" fontId="11" fillId="0" borderId="0" xfId="0" applyFont="1"/>
    <xf numFmtId="4" fontId="0" fillId="0" borderId="0" xfId="0" applyNumberFormat="1"/>
    <xf numFmtId="3" fontId="0" fillId="0" borderId="0" xfId="0" applyNumberFormat="1"/>
    <xf numFmtId="0" fontId="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4" fontId="9" fillId="0" borderId="1" xfId="0" applyNumberFormat="1" applyFont="1" applyBorder="1"/>
    <xf numFmtId="0" fontId="13" fillId="3" borderId="1" xfId="2" applyFont="1" applyFill="1" applyBorder="1" applyAlignment="1">
      <alignment horizontal="center"/>
    </xf>
    <xf numFmtId="3" fontId="9" fillId="0" borderId="0" xfId="0" applyNumberFormat="1" applyFont="1"/>
    <xf numFmtId="3" fontId="9" fillId="0" borderId="1" xfId="0" applyNumberFormat="1" applyFont="1" applyBorder="1"/>
    <xf numFmtId="0" fontId="14" fillId="3" borderId="1" xfId="0" applyFont="1" applyFill="1" applyBorder="1" applyAlignment="1">
      <alignment horizontal="center"/>
    </xf>
    <xf numFmtId="0" fontId="15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5" fillId="0" borderId="37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3" fontId="22" fillId="0" borderId="8" xfId="0" applyNumberFormat="1" applyFont="1" applyBorder="1"/>
    <xf numFmtId="3" fontId="22" fillId="0" borderId="1" xfId="0" applyNumberFormat="1" applyFont="1" applyBorder="1"/>
    <xf numFmtId="4" fontId="22" fillId="0" borderId="1" xfId="0" applyNumberFormat="1" applyFont="1" applyBorder="1"/>
    <xf numFmtId="3" fontId="22" fillId="0" borderId="11" xfId="0" applyNumberFormat="1" applyFont="1" applyBorder="1"/>
    <xf numFmtId="3" fontId="22" fillId="0" borderId="12" xfId="0" applyNumberFormat="1" applyFont="1" applyBorder="1"/>
    <xf numFmtId="0" fontId="14" fillId="4" borderId="18" xfId="0" applyFont="1" applyFill="1" applyBorder="1" applyAlignment="1">
      <alignment horizontal="center"/>
    </xf>
    <xf numFmtId="3" fontId="22" fillId="0" borderId="4" xfId="0" applyNumberFormat="1" applyFont="1" applyBorder="1"/>
    <xf numFmtId="3" fontId="22" fillId="0" borderId="34" xfId="0" applyNumberFormat="1" applyFont="1" applyBorder="1"/>
    <xf numFmtId="0" fontId="14" fillId="3" borderId="21" xfId="0" applyFont="1" applyFill="1" applyBorder="1" applyAlignment="1">
      <alignment horizontal="center"/>
    </xf>
    <xf numFmtId="3" fontId="16" fillId="4" borderId="18" xfId="0" applyNumberFormat="1" applyFont="1" applyFill="1" applyBorder="1"/>
    <xf numFmtId="4" fontId="16" fillId="4" borderId="18" xfId="0" applyNumberFormat="1" applyFont="1" applyFill="1" applyBorder="1"/>
    <xf numFmtId="0" fontId="13" fillId="2" borderId="20" xfId="2" applyFont="1" applyFill="1" applyBorder="1" applyAlignment="1">
      <alignment horizontal="center" vertical="center" wrapText="1"/>
    </xf>
    <xf numFmtId="3" fontId="22" fillId="0" borderId="27" xfId="0" applyNumberFormat="1" applyFont="1" applyBorder="1"/>
    <xf numFmtId="4" fontId="14" fillId="3" borderId="10" xfId="0" applyNumberFormat="1" applyFont="1" applyFill="1" applyBorder="1"/>
    <xf numFmtId="4" fontId="14" fillId="3" borderId="10" xfId="0" applyNumberFormat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9" xfId="0" applyFont="1" applyBorder="1" applyAlignment="1">
      <alignment horizontal="left"/>
    </xf>
    <xf numFmtId="0" fontId="19" fillId="0" borderId="0" xfId="0" applyFont="1"/>
    <xf numFmtId="0" fontId="33" fillId="3" borderId="1" xfId="4" applyFont="1" applyFill="1" applyBorder="1" applyAlignment="1">
      <alignment horizontal="center"/>
    </xf>
    <xf numFmtId="0" fontId="14" fillId="3" borderId="1" xfId="4" applyFont="1" applyFill="1" applyBorder="1" applyAlignment="1">
      <alignment horizontal="center"/>
    </xf>
    <xf numFmtId="0" fontId="35" fillId="3" borderId="1" xfId="4" applyFont="1" applyFill="1" applyBorder="1" applyAlignment="1">
      <alignment horizontal="center"/>
    </xf>
    <xf numFmtId="0" fontId="32" fillId="3" borderId="1" xfId="4" applyFont="1" applyFill="1" applyBorder="1" applyAlignment="1">
      <alignment horizontal="center"/>
    </xf>
    <xf numFmtId="0" fontId="33" fillId="3" borderId="21" xfId="4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37" fillId="0" borderId="0" xfId="5" applyFont="1" applyAlignment="1">
      <alignment horizontal="center"/>
    </xf>
    <xf numFmtId="3" fontId="37" fillId="0" borderId="0" xfId="5" applyNumberFormat="1" applyFont="1"/>
    <xf numFmtId="3" fontId="6" fillId="0" borderId="0" xfId="5" applyNumberFormat="1"/>
    <xf numFmtId="4" fontId="6" fillId="0" borderId="0" xfId="5" applyNumberFormat="1"/>
    <xf numFmtId="0" fontId="37" fillId="0" borderId="0" xfId="5" applyFont="1" applyAlignment="1">
      <alignment horizontal="center" vertical="center"/>
    </xf>
    <xf numFmtId="0" fontId="38" fillId="0" borderId="0" xfId="5" applyFont="1" applyAlignment="1">
      <alignment vertical="center"/>
    </xf>
    <xf numFmtId="0" fontId="38" fillId="0" borderId="17" xfId="5" applyFont="1" applyBorder="1" applyAlignment="1">
      <alignment horizontal="center" vertical="center"/>
    </xf>
    <xf numFmtId="0" fontId="38" fillId="0" borderId="18" xfId="5" applyFont="1" applyBorder="1" applyAlignment="1">
      <alignment horizontal="center" vertical="center"/>
    </xf>
    <xf numFmtId="3" fontId="8" fillId="0" borderId="1" xfId="5" applyNumberFormat="1" applyFont="1" applyBorder="1"/>
    <xf numFmtId="0" fontId="9" fillId="0" borderId="1" xfId="5" applyFont="1" applyBorder="1"/>
    <xf numFmtId="3" fontId="14" fillId="7" borderId="18" xfId="5" applyNumberFormat="1" applyFont="1" applyFill="1" applyBorder="1"/>
    <xf numFmtId="3" fontId="38" fillId="0" borderId="0" xfId="5" applyNumberFormat="1" applyFont="1" applyAlignment="1">
      <alignment horizontal="right"/>
    </xf>
    <xf numFmtId="4" fontId="37" fillId="0" borderId="0" xfId="5" applyNumberFormat="1" applyFont="1"/>
    <xf numFmtId="0" fontId="6" fillId="0" borderId="0" xfId="5"/>
    <xf numFmtId="0" fontId="6" fillId="0" borderId="0" xfId="5" applyAlignment="1">
      <alignment horizontal="center"/>
    </xf>
    <xf numFmtId="0" fontId="26" fillId="0" borderId="0" xfId="5" applyFont="1"/>
    <xf numFmtId="0" fontId="26" fillId="0" borderId="0" xfId="5" applyFont="1" applyAlignment="1">
      <alignment horizontal="center" vertical="center" wrapText="1"/>
    </xf>
    <xf numFmtId="0" fontId="9" fillId="0" borderId="1" xfId="5" applyFont="1" applyBorder="1" applyProtection="1">
      <protection locked="0"/>
    </xf>
    <xf numFmtId="0" fontId="9" fillId="0" borderId="1" xfId="5" applyFont="1" applyBorder="1" applyAlignment="1">
      <alignment horizontal="center"/>
    </xf>
    <xf numFmtId="0" fontId="9" fillId="0" borderId="9" xfId="5" applyFont="1" applyBorder="1"/>
    <xf numFmtId="0" fontId="28" fillId="0" borderId="0" xfId="5" applyFont="1"/>
    <xf numFmtId="0" fontId="15" fillId="3" borderId="1" xfId="5" applyFont="1" applyFill="1" applyBorder="1"/>
    <xf numFmtId="0" fontId="15" fillId="3" borderId="1" xfId="5" applyFont="1" applyFill="1" applyBorder="1" applyProtection="1">
      <protection locked="0"/>
    </xf>
    <xf numFmtId="0" fontId="15" fillId="3" borderId="1" xfId="5" applyFont="1" applyFill="1" applyBorder="1" applyAlignment="1">
      <alignment horizontal="center"/>
    </xf>
    <xf numFmtId="0" fontId="9" fillId="3" borderId="1" xfId="5" applyFont="1" applyFill="1" applyBorder="1"/>
    <xf numFmtId="0" fontId="9" fillId="3" borderId="9" xfId="5" applyFont="1" applyFill="1" applyBorder="1"/>
    <xf numFmtId="0" fontId="9" fillId="2" borderId="1" xfId="5" applyFont="1" applyFill="1" applyBorder="1"/>
    <xf numFmtId="4" fontId="15" fillId="3" borderId="10" xfId="5" applyNumberFormat="1" applyFont="1" applyFill="1" applyBorder="1"/>
    <xf numFmtId="0" fontId="9" fillId="0" borderId="1" xfId="5" applyFont="1" applyBorder="1" applyAlignment="1">
      <alignment wrapText="1"/>
    </xf>
    <xf numFmtId="0" fontId="9" fillId="0" borderId="1" xfId="5" applyFont="1" applyBorder="1" applyAlignment="1">
      <alignment horizontal="center" wrapText="1"/>
    </xf>
    <xf numFmtId="0" fontId="15" fillId="3" borderId="1" xfId="5" applyFont="1" applyFill="1" applyBorder="1" applyAlignment="1">
      <alignment horizontal="center" wrapText="1"/>
    </xf>
    <xf numFmtId="4" fontId="15" fillId="3" borderId="10" xfId="5" applyNumberFormat="1" applyFont="1" applyFill="1" applyBorder="1" applyAlignment="1">
      <alignment horizontal="right"/>
    </xf>
    <xf numFmtId="0" fontId="15" fillId="3" borderId="21" xfId="5" applyFont="1" applyFill="1" applyBorder="1"/>
    <xf numFmtId="0" fontId="15" fillId="3" borderId="21" xfId="5" applyFont="1" applyFill="1" applyBorder="1" applyProtection="1">
      <protection locked="0"/>
    </xf>
    <xf numFmtId="0" fontId="15" fillId="3" borderId="21" xfId="5" applyFont="1" applyFill="1" applyBorder="1" applyAlignment="1">
      <alignment horizontal="center" wrapText="1"/>
    </xf>
    <xf numFmtId="0" fontId="9" fillId="3" borderId="21" xfId="5" applyFont="1" applyFill="1" applyBorder="1"/>
    <xf numFmtId="0" fontId="9" fillId="3" borderId="29" xfId="5" applyFont="1" applyFill="1" applyBorder="1"/>
    <xf numFmtId="0" fontId="28" fillId="0" borderId="0" xfId="5" applyFont="1" applyAlignment="1">
      <alignment horizontal="center"/>
    </xf>
    <xf numFmtId="3" fontId="15" fillId="0" borderId="0" xfId="5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5" applyFont="1" applyAlignment="1">
      <alignment horizontal="center"/>
    </xf>
    <xf numFmtId="3" fontId="9" fillId="0" borderId="8" xfId="5" applyNumberFormat="1" applyFont="1" applyBorder="1" applyAlignment="1">
      <alignment horizontal="center"/>
    </xf>
    <xf numFmtId="3" fontId="15" fillId="3" borderId="8" xfId="5" applyNumberFormat="1" applyFont="1" applyFill="1" applyBorder="1" applyAlignment="1">
      <alignment horizontal="center"/>
    </xf>
    <xf numFmtId="0" fontId="38" fillId="0" borderId="18" xfId="5" applyFont="1" applyBorder="1" applyAlignment="1">
      <alignment horizontal="center" vertical="center" wrapText="1"/>
    </xf>
    <xf numFmtId="0" fontId="23" fillId="0" borderId="0" xfId="5" applyFont="1"/>
    <xf numFmtId="0" fontId="23" fillId="8" borderId="17" xfId="5" applyFont="1" applyFill="1" applyBorder="1" applyAlignment="1">
      <alignment horizontal="center"/>
    </xf>
    <xf numFmtId="0" fontId="23" fillId="8" borderId="18" xfId="5" applyFont="1" applyFill="1" applyBorder="1" applyAlignment="1">
      <alignment horizontal="center"/>
    </xf>
    <xf numFmtId="0" fontId="23" fillId="8" borderId="20" xfId="5" applyFont="1" applyFill="1" applyBorder="1" applyAlignment="1">
      <alignment horizontal="center"/>
    </xf>
    <xf numFmtId="0" fontId="15" fillId="0" borderId="40" xfId="0" applyFont="1" applyBorder="1" applyAlignment="1">
      <alignment horizontal="left"/>
    </xf>
    <xf numFmtId="3" fontId="16" fillId="4" borderId="17" xfId="0" applyNumberFormat="1" applyFont="1" applyFill="1" applyBorder="1"/>
    <xf numFmtId="4" fontId="22" fillId="0" borderId="12" xfId="0" applyNumberFormat="1" applyFont="1" applyBorder="1"/>
    <xf numFmtId="3" fontId="22" fillId="0" borderId="5" xfId="0" applyNumberFormat="1" applyFont="1" applyBorder="1"/>
    <xf numFmtId="4" fontId="22" fillId="0" borderId="5" xfId="0" applyNumberFormat="1" applyFont="1" applyBorder="1"/>
    <xf numFmtId="4" fontId="16" fillId="4" borderId="20" xfId="0" applyNumberFormat="1" applyFont="1" applyFill="1" applyBorder="1"/>
    <xf numFmtId="3" fontId="16" fillId="4" borderId="22" xfId="0" applyNumberFormat="1" applyFont="1" applyFill="1" applyBorder="1"/>
    <xf numFmtId="3" fontId="22" fillId="0" borderId="38" xfId="0" applyNumberFormat="1" applyFont="1" applyBorder="1"/>
    <xf numFmtId="0" fontId="15" fillId="0" borderId="16" xfId="0" applyFont="1" applyBorder="1" applyAlignment="1">
      <alignment horizontal="left"/>
    </xf>
    <xf numFmtId="0" fontId="14" fillId="3" borderId="1" xfId="2" applyFont="1" applyFill="1" applyBorder="1" applyAlignment="1">
      <alignment horizontal="center"/>
    </xf>
    <xf numFmtId="0" fontId="13" fillId="3" borderId="8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/>
    </xf>
    <xf numFmtId="0" fontId="13" fillId="3" borderId="25" xfId="2" applyFont="1" applyFill="1" applyBorder="1" applyAlignment="1">
      <alignment horizontal="center"/>
    </xf>
    <xf numFmtId="0" fontId="13" fillId="3" borderId="21" xfId="2" applyFont="1" applyFill="1" applyBorder="1" applyAlignment="1">
      <alignment horizontal="center"/>
    </xf>
    <xf numFmtId="0" fontId="14" fillId="3" borderId="21" xfId="2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left"/>
    </xf>
    <xf numFmtId="0" fontId="14" fillId="4" borderId="1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left"/>
    </xf>
    <xf numFmtId="0" fontId="13" fillId="2" borderId="32" xfId="2" applyFont="1" applyFill="1" applyBorder="1" applyAlignment="1">
      <alignment horizontal="center" vertical="center"/>
    </xf>
    <xf numFmtId="0" fontId="14" fillId="3" borderId="1" xfId="0" applyFont="1" applyFill="1" applyBorder="1"/>
    <xf numFmtId="0" fontId="10" fillId="0" borderId="1" xfId="0" applyFont="1" applyBorder="1" applyAlignment="1">
      <alignment horizontal="left"/>
    </xf>
    <xf numFmtId="0" fontId="14" fillId="3" borderId="21" xfId="4" applyFont="1" applyFill="1" applyBorder="1" applyAlignment="1">
      <alignment horizontal="center"/>
    </xf>
    <xf numFmtId="3" fontId="9" fillId="0" borderId="8" xfId="0" applyNumberFormat="1" applyFont="1" applyBorder="1"/>
    <xf numFmtId="3" fontId="9" fillId="0" borderId="27" xfId="0" applyNumberFormat="1" applyFont="1" applyBorder="1"/>
    <xf numFmtId="4" fontId="9" fillId="0" borderId="9" xfId="0" applyNumberFormat="1" applyFont="1" applyBorder="1"/>
    <xf numFmtId="3" fontId="9" fillId="0" borderId="11" xfId="0" applyNumberFormat="1" applyFont="1" applyBorder="1"/>
    <xf numFmtId="3" fontId="9" fillId="0" borderId="12" xfId="0" applyNumberFormat="1" applyFont="1" applyBorder="1"/>
    <xf numFmtId="4" fontId="9" fillId="0" borderId="12" xfId="0" applyNumberFormat="1" applyFont="1" applyBorder="1"/>
    <xf numFmtId="3" fontId="9" fillId="0" borderId="38" xfId="0" applyNumberFormat="1" applyFont="1" applyBorder="1"/>
    <xf numFmtId="4" fontId="9" fillId="0" borderId="13" xfId="0" applyNumberFormat="1" applyFont="1" applyBorder="1"/>
    <xf numFmtId="0" fontId="20" fillId="0" borderId="0" xfId="0" applyFont="1" applyAlignment="1">
      <alignment horizontal="left"/>
    </xf>
    <xf numFmtId="0" fontId="33" fillId="3" borderId="9" xfId="4" applyFont="1" applyFill="1" applyBorder="1" applyAlignment="1">
      <alignment horizontal="left"/>
    </xf>
    <xf numFmtId="0" fontId="14" fillId="3" borderId="9" xfId="4" applyFont="1" applyFill="1" applyBorder="1" applyAlignment="1">
      <alignment horizontal="left"/>
    </xf>
    <xf numFmtId="0" fontId="35" fillId="3" borderId="9" xfId="4" applyFont="1" applyFill="1" applyBorder="1" applyAlignment="1">
      <alignment horizontal="left"/>
    </xf>
    <xf numFmtId="0" fontId="32" fillId="3" borderId="9" xfId="4" applyFont="1" applyFill="1" applyBorder="1" applyAlignment="1">
      <alignment horizontal="left"/>
    </xf>
    <xf numFmtId="0" fontId="33" fillId="3" borderId="29" xfId="4" applyFont="1" applyFill="1" applyBorder="1" applyAlignment="1">
      <alignment horizontal="left"/>
    </xf>
    <xf numFmtId="0" fontId="14" fillId="3" borderId="38" xfId="0" applyFont="1" applyFill="1" applyBorder="1" applyAlignment="1" applyProtection="1">
      <alignment horizontal="center"/>
      <protection locked="0"/>
    </xf>
    <xf numFmtId="0" fontId="14" fillId="3" borderId="13" xfId="0" applyFont="1" applyFill="1" applyBorder="1" applyProtection="1">
      <protection locked="0"/>
    </xf>
    <xf numFmtId="0" fontId="8" fillId="0" borderId="1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4" applyFont="1" applyBorder="1"/>
    <xf numFmtId="0" fontId="32" fillId="0" borderId="1" xfId="4" applyFont="1" applyBorder="1" applyAlignment="1">
      <alignment horizontal="center"/>
    </xf>
    <xf numFmtId="0" fontId="15" fillId="3" borderId="8" xfId="4" applyFont="1" applyFill="1" applyBorder="1" applyAlignment="1">
      <alignment horizontal="center"/>
    </xf>
    <xf numFmtId="0" fontId="9" fillId="3" borderId="8" xfId="4" applyFont="1" applyFill="1" applyBorder="1" applyAlignment="1">
      <alignment horizontal="center"/>
    </xf>
    <xf numFmtId="0" fontId="9" fillId="3" borderId="25" xfId="4" applyFont="1" applyFill="1" applyBorder="1" applyAlignment="1">
      <alignment horizontal="center"/>
    </xf>
    <xf numFmtId="0" fontId="38" fillId="0" borderId="18" xfId="5" applyFont="1" applyBorder="1" applyAlignment="1">
      <alignment vertical="center" wrapText="1"/>
    </xf>
    <xf numFmtId="0" fontId="23" fillId="8" borderId="18" xfId="5" applyFont="1" applyFill="1" applyBorder="1"/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5" xfId="2" applyFont="1" applyBorder="1"/>
    <xf numFmtId="0" fontId="12" fillId="0" borderId="0" xfId="0" applyFont="1"/>
    <xf numFmtId="0" fontId="13" fillId="3" borderId="1" xfId="2" applyFont="1" applyFill="1" applyBorder="1"/>
    <xf numFmtId="0" fontId="10" fillId="0" borderId="8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" xfId="2" applyFont="1" applyBorder="1"/>
    <xf numFmtId="0" fontId="10" fillId="0" borderId="9" xfId="2" applyFont="1" applyBorder="1"/>
    <xf numFmtId="0" fontId="13" fillId="3" borderId="21" xfId="2" applyFont="1" applyFill="1" applyBorder="1"/>
    <xf numFmtId="0" fontId="13" fillId="4" borderId="17" xfId="2" applyFont="1" applyFill="1" applyBorder="1"/>
    <xf numFmtId="0" fontId="13" fillId="4" borderId="18" xfId="2" applyFont="1" applyFill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left"/>
    </xf>
    <xf numFmtId="0" fontId="14" fillId="3" borderId="21" xfId="0" applyFont="1" applyFill="1" applyBorder="1"/>
    <xf numFmtId="3" fontId="15" fillId="0" borderId="0" xfId="0" applyNumberFormat="1" applyFont="1"/>
    <xf numFmtId="3" fontId="28" fillId="0" borderId="0" xfId="5" applyNumberFormat="1" applyFont="1"/>
    <xf numFmtId="4" fontId="28" fillId="0" borderId="0" xfId="5" applyNumberFormat="1" applyFont="1"/>
    <xf numFmtId="3" fontId="15" fillId="4" borderId="17" xfId="5" applyNumberFormat="1" applyFont="1" applyFill="1" applyBorder="1" applyAlignment="1">
      <alignment horizontal="center"/>
    </xf>
    <xf numFmtId="3" fontId="15" fillId="4" borderId="18" xfId="5" applyNumberFormat="1" applyFont="1" applyFill="1" applyBorder="1"/>
    <xf numFmtId="3" fontId="15" fillId="4" borderId="20" xfId="5" applyNumberFormat="1" applyFont="1" applyFill="1" applyBorder="1"/>
    <xf numFmtId="0" fontId="23" fillId="8" borderId="19" xfId="5" applyFont="1" applyFill="1" applyBorder="1" applyAlignment="1">
      <alignment horizontal="center"/>
    </xf>
    <xf numFmtId="0" fontId="6" fillId="0" borderId="0" xfId="5" applyAlignment="1">
      <alignment horizontal="left"/>
    </xf>
    <xf numFmtId="0" fontId="5" fillId="0" borderId="0" xfId="8" applyAlignment="1">
      <alignment horizontal="center"/>
    </xf>
    <xf numFmtId="0" fontId="5" fillId="0" borderId="0" xfId="9"/>
    <xf numFmtId="0" fontId="5" fillId="0" borderId="0" xfId="8"/>
    <xf numFmtId="0" fontId="37" fillId="0" borderId="0" xfId="8" applyFont="1" applyAlignment="1">
      <alignment horizontal="center"/>
    </xf>
    <xf numFmtId="0" fontId="11" fillId="0" borderId="0" xfId="5" applyFont="1"/>
    <xf numFmtId="0" fontId="20" fillId="0" borderId="0" xfId="5" applyFont="1"/>
    <xf numFmtId="0" fontId="26" fillId="0" borderId="0" xfId="8" applyFont="1" applyAlignment="1">
      <alignment horizontal="center"/>
    </xf>
    <xf numFmtId="0" fontId="26" fillId="0" borderId="0" xfId="8" applyFont="1"/>
    <xf numFmtId="0" fontId="21" fillId="0" borderId="0" xfId="5" applyFont="1" applyAlignment="1">
      <alignment horizontal="left"/>
    </xf>
    <xf numFmtId="0" fontId="21" fillId="0" borderId="0" xfId="5" applyFont="1"/>
    <xf numFmtId="0" fontId="37" fillId="0" borderId="0" xfId="8" applyFont="1" applyAlignment="1">
      <alignment horizontal="center" vertical="center"/>
    </xf>
    <xf numFmtId="0" fontId="38" fillId="0" borderId="0" xfId="8" applyFont="1" applyAlignment="1">
      <alignment vertical="center"/>
    </xf>
    <xf numFmtId="0" fontId="38" fillId="0" borderId="17" xfId="8" applyFont="1" applyBorder="1" applyAlignment="1">
      <alignment horizontal="center" vertical="center"/>
    </xf>
    <xf numFmtId="0" fontId="38" fillId="0" borderId="18" xfId="8" applyFont="1" applyBorder="1" applyAlignment="1">
      <alignment horizontal="center" vertical="center"/>
    </xf>
    <xf numFmtId="0" fontId="38" fillId="0" borderId="18" xfId="8" applyFont="1" applyBorder="1" applyAlignment="1">
      <alignment horizontal="center" vertical="center" wrapText="1"/>
    </xf>
    <xf numFmtId="0" fontId="23" fillId="8" borderId="17" xfId="8" applyFont="1" applyFill="1" applyBorder="1" applyAlignment="1">
      <alignment horizontal="center"/>
    </xf>
    <xf numFmtId="0" fontId="23" fillId="8" borderId="18" xfId="8" applyFont="1" applyFill="1" applyBorder="1" applyAlignment="1">
      <alignment horizontal="center"/>
    </xf>
    <xf numFmtId="0" fontId="23" fillId="8" borderId="20" xfId="8" applyFont="1" applyFill="1" applyBorder="1" applyAlignment="1">
      <alignment horizontal="center"/>
    </xf>
    <xf numFmtId="0" fontId="23" fillId="0" borderId="0" xfId="8" applyFont="1"/>
    <xf numFmtId="0" fontId="28" fillId="0" borderId="4" xfId="9" applyFont="1" applyBorder="1" applyAlignment="1">
      <alignment horizontal="center"/>
    </xf>
    <xf numFmtId="0" fontId="10" fillId="0" borderId="5" xfId="9" applyFont="1" applyBorder="1" applyAlignment="1">
      <alignment horizontal="center"/>
    </xf>
    <xf numFmtId="0" fontId="28" fillId="0" borderId="5" xfId="9" applyFont="1" applyBorder="1" applyAlignment="1">
      <alignment horizontal="center"/>
    </xf>
    <xf numFmtId="0" fontId="8" fillId="0" borderId="34" xfId="9" applyFont="1" applyBorder="1"/>
    <xf numFmtId="0" fontId="10" fillId="0" borderId="6" xfId="9" applyFont="1" applyBorder="1"/>
    <xf numFmtId="0" fontId="25" fillId="3" borderId="8" xfId="9" applyFont="1" applyFill="1" applyBorder="1" applyAlignment="1">
      <alignment horizontal="center"/>
    </xf>
    <xf numFmtId="0" fontId="13" fillId="3" borderId="1" xfId="9" applyFont="1" applyFill="1" applyBorder="1" applyAlignment="1">
      <alignment horizontal="center"/>
    </xf>
    <xf numFmtId="0" fontId="25" fillId="3" borderId="1" xfId="9" applyFont="1" applyFill="1" applyBorder="1" applyAlignment="1">
      <alignment horizontal="center"/>
    </xf>
    <xf numFmtId="0" fontId="13" fillId="3" borderId="27" xfId="9" applyFont="1" applyFill="1" applyBorder="1"/>
    <xf numFmtId="0" fontId="10" fillId="3" borderId="1" xfId="9" applyFont="1" applyFill="1" applyBorder="1" applyAlignment="1">
      <alignment horizontal="center"/>
    </xf>
    <xf numFmtId="0" fontId="10" fillId="3" borderId="9" xfId="9" applyFont="1" applyFill="1" applyBorder="1"/>
    <xf numFmtId="4" fontId="14" fillId="3" borderId="10" xfId="9" applyNumberFormat="1" applyFont="1" applyFill="1" applyBorder="1"/>
    <xf numFmtId="0" fontId="28" fillId="0" borderId="8" xfId="9" applyFont="1" applyBorder="1" applyAlignment="1">
      <alignment horizontal="center"/>
    </xf>
    <xf numFmtId="0" fontId="28" fillId="0" borderId="1" xfId="9" applyFont="1" applyBorder="1" applyAlignment="1">
      <alignment horizontal="center"/>
    </xf>
    <xf numFmtId="0" fontId="27" fillId="0" borderId="54" xfId="9" applyFont="1" applyBorder="1" applyAlignment="1">
      <alignment horizontal="center"/>
    </xf>
    <xf numFmtId="0" fontId="28" fillId="0" borderId="27" xfId="9" applyFont="1" applyBorder="1"/>
    <xf numFmtId="0" fontId="28" fillId="0" borderId="9" xfId="9" applyFont="1" applyBorder="1"/>
    <xf numFmtId="0" fontId="28" fillId="0" borderId="9" xfId="9" applyFont="1" applyBorder="1" applyAlignment="1">
      <alignment horizontal="left"/>
    </xf>
    <xf numFmtId="0" fontId="10" fillId="0" borderId="9" xfId="5" applyFont="1" applyBorder="1" applyAlignment="1">
      <alignment horizontal="left"/>
    </xf>
    <xf numFmtId="0" fontId="29" fillId="3" borderId="54" xfId="9" applyFont="1" applyFill="1" applyBorder="1" applyAlignment="1">
      <alignment horizontal="center"/>
    </xf>
    <xf numFmtId="0" fontId="25" fillId="3" borderId="27" xfId="9" applyFont="1" applyFill="1" applyBorder="1"/>
    <xf numFmtId="0" fontId="25" fillId="3" borderId="9" xfId="9" applyFont="1" applyFill="1" applyBorder="1"/>
    <xf numFmtId="4" fontId="25" fillId="3" borderId="10" xfId="9" applyNumberFormat="1" applyFont="1" applyFill="1" applyBorder="1"/>
    <xf numFmtId="0" fontId="28" fillId="3" borderId="1" xfId="9" applyFont="1" applyFill="1" applyBorder="1" applyAlignment="1">
      <alignment horizontal="center"/>
    </xf>
    <xf numFmtId="0" fontId="28" fillId="3" borderId="9" xfId="9" applyFont="1" applyFill="1" applyBorder="1"/>
    <xf numFmtId="0" fontId="10" fillId="0" borderId="9" xfId="9" applyFont="1" applyBorder="1"/>
    <xf numFmtId="0" fontId="25" fillId="3" borderId="28" xfId="9" applyFont="1" applyFill="1" applyBorder="1"/>
    <xf numFmtId="0" fontId="28" fillId="3" borderId="21" xfId="9" applyFont="1" applyFill="1" applyBorder="1" applyAlignment="1">
      <alignment horizontal="center"/>
    </xf>
    <xf numFmtId="0" fontId="28" fillId="3" borderId="29" xfId="9" applyFont="1" applyFill="1" applyBorder="1"/>
    <xf numFmtId="0" fontId="28" fillId="0" borderId="28" xfId="9" applyFont="1" applyBorder="1"/>
    <xf numFmtId="0" fontId="28" fillId="0" borderId="21" xfId="9" applyFont="1" applyBorder="1" applyAlignment="1">
      <alignment horizontal="center"/>
    </xf>
    <xf numFmtId="0" fontId="28" fillId="0" borderId="29" xfId="9" applyFont="1" applyBorder="1"/>
    <xf numFmtId="0" fontId="25" fillId="3" borderId="25" xfId="9" applyFont="1" applyFill="1" applyBorder="1" applyAlignment="1">
      <alignment horizontal="center"/>
    </xf>
    <xf numFmtId="0" fontId="25" fillId="3" borderId="21" xfId="9" applyFont="1" applyFill="1" applyBorder="1" applyAlignment="1">
      <alignment horizontal="center"/>
    </xf>
    <xf numFmtId="0" fontId="30" fillId="5" borderId="17" xfId="9" applyFont="1" applyFill="1" applyBorder="1" applyAlignment="1">
      <alignment horizontal="center"/>
    </xf>
    <xf numFmtId="0" fontId="5" fillId="5" borderId="18" xfId="9" applyFill="1" applyBorder="1"/>
    <xf numFmtId="0" fontId="5" fillId="5" borderId="18" xfId="9" applyFill="1" applyBorder="1" applyAlignment="1">
      <alignment horizontal="center"/>
    </xf>
    <xf numFmtId="3" fontId="14" fillId="7" borderId="18" xfId="8" applyNumberFormat="1" applyFont="1" applyFill="1" applyBorder="1"/>
    <xf numFmtId="0" fontId="5" fillId="5" borderId="20" xfId="9" applyFill="1" applyBorder="1"/>
    <xf numFmtId="0" fontId="5" fillId="5" borderId="39" xfId="9" applyFill="1" applyBorder="1"/>
    <xf numFmtId="0" fontId="27" fillId="0" borderId="0" xfId="9" applyFont="1" applyAlignment="1">
      <alignment horizontal="center"/>
    </xf>
    <xf numFmtId="0" fontId="5" fillId="0" borderId="0" xfId="9" applyAlignment="1">
      <alignment horizontal="center"/>
    </xf>
    <xf numFmtId="0" fontId="15" fillId="0" borderId="0" xfId="9" applyFont="1"/>
    <xf numFmtId="0" fontId="9" fillId="0" borderId="0" xfId="5" applyFont="1" applyAlignment="1">
      <alignment horizontal="center"/>
    </xf>
    <xf numFmtId="0" fontId="9" fillId="0" borderId="0" xfId="5" applyFont="1"/>
    <xf numFmtId="0" fontId="9" fillId="0" borderId="0" xfId="5" applyFont="1" applyAlignment="1">
      <alignment horizontal="left"/>
    </xf>
    <xf numFmtId="3" fontId="5" fillId="0" borderId="0" xfId="9" applyNumberFormat="1"/>
    <xf numFmtId="4" fontId="5" fillId="0" borderId="0" xfId="9" applyNumberFormat="1"/>
    <xf numFmtId="0" fontId="26" fillId="0" borderId="0" xfId="9" applyFont="1"/>
    <xf numFmtId="0" fontId="9" fillId="0" borderId="5" xfId="9" applyFont="1" applyBorder="1" applyAlignment="1">
      <alignment horizontal="center"/>
    </xf>
    <xf numFmtId="1" fontId="9" fillId="0" borderId="5" xfId="9" applyNumberFormat="1" applyFont="1" applyBorder="1" applyAlignment="1">
      <alignment horizontal="center"/>
    </xf>
    <xf numFmtId="0" fontId="28" fillId="0" borderId="5" xfId="9" applyFont="1" applyBorder="1"/>
    <xf numFmtId="0" fontId="28" fillId="0" borderId="6" xfId="9" applyFont="1" applyBorder="1"/>
    <xf numFmtId="0" fontId="9" fillId="0" borderId="1" xfId="9" applyFont="1" applyBorder="1" applyAlignment="1">
      <alignment horizontal="center"/>
    </xf>
    <xf numFmtId="1" fontId="9" fillId="0" borderId="1" xfId="9" applyNumberFormat="1" applyFont="1" applyBorder="1" applyAlignment="1">
      <alignment horizontal="center"/>
    </xf>
    <xf numFmtId="0" fontId="28" fillId="0" borderId="1" xfId="9" applyFont="1" applyBorder="1"/>
    <xf numFmtId="0" fontId="15" fillId="3" borderId="8" xfId="9" applyFont="1" applyFill="1" applyBorder="1" applyAlignment="1">
      <alignment horizontal="center"/>
    </xf>
    <xf numFmtId="0" fontId="15" fillId="3" borderId="1" xfId="9" applyFont="1" applyFill="1" applyBorder="1" applyAlignment="1">
      <alignment horizontal="center"/>
    </xf>
    <xf numFmtId="1" fontId="15" fillId="3" borderId="1" xfId="9" applyNumberFormat="1" applyFont="1" applyFill="1" applyBorder="1" applyAlignment="1">
      <alignment horizontal="center"/>
    </xf>
    <xf numFmtId="0" fontId="25" fillId="3" borderId="1" xfId="9" applyFont="1" applyFill="1" applyBorder="1"/>
    <xf numFmtId="4" fontId="15" fillId="3" borderId="10" xfId="9" applyNumberFormat="1" applyFont="1" applyFill="1" applyBorder="1"/>
    <xf numFmtId="0" fontId="28" fillId="3" borderId="1" xfId="9" applyFont="1" applyFill="1" applyBorder="1"/>
    <xf numFmtId="1" fontId="28" fillId="0" borderId="1" xfId="9" applyNumberFormat="1" applyFont="1" applyBorder="1" applyAlignment="1">
      <alignment horizontal="center"/>
    </xf>
    <xf numFmtId="0" fontId="10" fillId="0" borderId="1" xfId="5" applyFont="1" applyBorder="1" applyAlignment="1">
      <alignment horizontal="left"/>
    </xf>
    <xf numFmtId="1" fontId="9" fillId="3" borderId="1" xfId="9" applyNumberFormat="1" applyFont="1" applyFill="1" applyBorder="1" applyAlignment="1">
      <alignment horizontal="center"/>
    </xf>
    <xf numFmtId="4" fontId="15" fillId="3" borderId="10" xfId="9" applyNumberFormat="1" applyFont="1" applyFill="1" applyBorder="1" applyAlignment="1">
      <alignment horizontal="right"/>
    </xf>
    <xf numFmtId="1" fontId="27" fillId="0" borderId="1" xfId="9" applyNumberFormat="1" applyFont="1" applyBorder="1" applyAlignment="1">
      <alignment horizontal="center"/>
    </xf>
    <xf numFmtId="0" fontId="15" fillId="3" borderId="25" xfId="9" applyFont="1" applyFill="1" applyBorder="1" applyAlignment="1">
      <alignment horizontal="center"/>
    </xf>
    <xf numFmtId="0" fontId="15" fillId="3" borderId="21" xfId="9" applyFont="1" applyFill="1" applyBorder="1" applyAlignment="1">
      <alignment horizontal="center"/>
    </xf>
    <xf numFmtId="1" fontId="15" fillId="3" borderId="21" xfId="9" applyNumberFormat="1" applyFont="1" applyFill="1" applyBorder="1" applyAlignment="1">
      <alignment horizontal="center"/>
    </xf>
    <xf numFmtId="0" fontId="25" fillId="3" borderId="21" xfId="9" applyFont="1" applyFill="1" applyBorder="1"/>
    <xf numFmtId="0" fontId="28" fillId="3" borderId="21" xfId="9" applyFont="1" applyFill="1" applyBorder="1"/>
    <xf numFmtId="0" fontId="27" fillId="5" borderId="17" xfId="9" applyFont="1" applyFill="1" applyBorder="1" applyAlignment="1">
      <alignment horizontal="center"/>
    </xf>
    <xf numFmtId="1" fontId="5" fillId="5" borderId="18" xfId="9" applyNumberFormat="1" applyFill="1" applyBorder="1" applyAlignment="1">
      <alignment horizontal="center"/>
    </xf>
    <xf numFmtId="1" fontId="5" fillId="0" borderId="0" xfId="9" applyNumberFormat="1" applyAlignment="1">
      <alignment horizontal="center"/>
    </xf>
    <xf numFmtId="0" fontId="9" fillId="0" borderId="34" xfId="9" applyFont="1" applyBorder="1"/>
    <xf numFmtId="0" fontId="9" fillId="0" borderId="6" xfId="9" applyFont="1" applyBorder="1"/>
    <xf numFmtId="0" fontId="9" fillId="0" borderId="9" xfId="9" applyFont="1" applyBorder="1"/>
    <xf numFmtId="1" fontId="25" fillId="3" borderId="1" xfId="9" applyNumberFormat="1" applyFont="1" applyFill="1" applyBorder="1" applyAlignment="1">
      <alignment horizontal="center"/>
    </xf>
    <xf numFmtId="0" fontId="15" fillId="3" borderId="9" xfId="9" applyFont="1" applyFill="1" applyBorder="1" applyAlignment="1">
      <alignment horizontal="left"/>
    </xf>
    <xf numFmtId="0" fontId="9" fillId="0" borderId="27" xfId="9" applyFont="1" applyBorder="1"/>
    <xf numFmtId="0" fontId="15" fillId="3" borderId="27" xfId="9" applyFont="1" applyFill="1" applyBorder="1"/>
    <xf numFmtId="0" fontId="15" fillId="3" borderId="9" xfId="9" applyFont="1" applyFill="1" applyBorder="1"/>
    <xf numFmtId="4" fontId="14" fillId="3" borderId="10" xfId="9" applyNumberFormat="1" applyFont="1" applyFill="1" applyBorder="1" applyAlignment="1">
      <alignment horizontal="right"/>
    </xf>
    <xf numFmtId="0" fontId="9" fillId="3" borderId="1" xfId="9" applyFont="1" applyFill="1" applyBorder="1" applyAlignment="1">
      <alignment horizontal="center"/>
    </xf>
    <xf numFmtId="0" fontId="9" fillId="3" borderId="9" xfId="9" applyFont="1" applyFill="1" applyBorder="1"/>
    <xf numFmtId="0" fontId="15" fillId="3" borderId="28" xfId="9" applyFont="1" applyFill="1" applyBorder="1"/>
    <xf numFmtId="0" fontId="31" fillId="7" borderId="17" xfId="9" applyFont="1" applyFill="1" applyBorder="1" applyAlignment="1">
      <alignment horizontal="center"/>
    </xf>
    <xf numFmtId="0" fontId="14" fillId="7" borderId="18" xfId="9" applyFont="1" applyFill="1" applyBorder="1" applyAlignment="1">
      <alignment horizontal="center"/>
    </xf>
    <xf numFmtId="1" fontId="14" fillId="7" borderId="18" xfId="9" applyNumberFormat="1" applyFont="1" applyFill="1" applyBorder="1" applyAlignment="1">
      <alignment horizontal="center"/>
    </xf>
    <xf numFmtId="1" fontId="23" fillId="0" borderId="0" xfId="9" applyNumberFormat="1" applyFont="1" applyAlignment="1">
      <alignment horizontal="center"/>
    </xf>
    <xf numFmtId="1" fontId="23" fillId="0" borderId="0" xfId="9" applyNumberFormat="1" applyFont="1"/>
    <xf numFmtId="0" fontId="15" fillId="0" borderId="0" xfId="5" applyFont="1" applyAlignment="1">
      <alignment horizontal="center"/>
    </xf>
    <xf numFmtId="0" fontId="28" fillId="0" borderId="0" xfId="8" applyFont="1" applyAlignment="1">
      <alignment horizontal="center"/>
    </xf>
    <xf numFmtId="0" fontId="25" fillId="0" borderId="0" xfId="8" applyFont="1" applyAlignment="1">
      <alignment horizontal="center"/>
    </xf>
    <xf numFmtId="0" fontId="25" fillId="0" borderId="17" xfId="8" applyFont="1" applyBorder="1" applyAlignment="1">
      <alignment horizontal="center" vertical="center"/>
    </xf>
    <xf numFmtId="0" fontId="28" fillId="8" borderId="17" xfId="8" applyFont="1" applyFill="1" applyBorder="1" applyAlignment="1">
      <alignment horizontal="center"/>
    </xf>
    <xf numFmtId="0" fontId="8" fillId="0" borderId="5" xfId="9" applyFont="1" applyBorder="1"/>
    <xf numFmtId="0" fontId="10" fillId="0" borderId="5" xfId="9" applyFont="1" applyBorder="1"/>
    <xf numFmtId="0" fontId="28" fillId="0" borderId="6" xfId="9" applyFont="1" applyBorder="1" applyAlignment="1">
      <alignment horizontal="left"/>
    </xf>
    <xf numFmtId="0" fontId="10" fillId="0" borderId="1" xfId="9" applyFont="1" applyBorder="1" applyAlignment="1">
      <alignment horizontal="center"/>
    </xf>
    <xf numFmtId="0" fontId="8" fillId="0" borderId="1" xfId="9" applyFont="1" applyBorder="1"/>
    <xf numFmtId="0" fontId="32" fillId="0" borderId="1" xfId="4" applyFont="1" applyBorder="1"/>
    <xf numFmtId="0" fontId="10" fillId="0" borderId="1" xfId="9" applyFont="1" applyBorder="1"/>
    <xf numFmtId="0" fontId="33" fillId="3" borderId="1" xfId="4" applyFont="1" applyFill="1" applyBorder="1"/>
    <xf numFmtId="4" fontId="13" fillId="3" borderId="10" xfId="9" applyNumberFormat="1" applyFont="1" applyFill="1" applyBorder="1" applyAlignment="1">
      <alignment horizontal="right"/>
    </xf>
    <xf numFmtId="0" fontId="8" fillId="0" borderId="1" xfId="4" applyFont="1" applyBorder="1" applyAlignment="1">
      <alignment horizontal="center"/>
    </xf>
    <xf numFmtId="0" fontId="8" fillId="0" borderId="9" xfId="4" applyFont="1" applyBorder="1" applyAlignment="1">
      <alignment horizontal="left"/>
    </xf>
    <xf numFmtId="0" fontId="14" fillId="3" borderId="1" xfId="4" applyFont="1" applyFill="1" applyBorder="1"/>
    <xf numFmtId="4" fontId="13" fillId="3" borderId="10" xfId="9" applyNumberFormat="1" applyFont="1" applyFill="1" applyBorder="1"/>
    <xf numFmtId="0" fontId="34" fillId="0" borderId="1" xfId="4" applyFont="1" applyBorder="1"/>
    <xf numFmtId="0" fontId="34" fillId="0" borderId="1" xfId="4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14" fillId="3" borderId="1" xfId="9" applyFont="1" applyFill="1" applyBorder="1"/>
    <xf numFmtId="0" fontId="14" fillId="3" borderId="1" xfId="9" applyFont="1" applyFill="1" applyBorder="1" applyAlignment="1">
      <alignment horizontal="center"/>
    </xf>
    <xf numFmtId="0" fontId="14" fillId="3" borderId="9" xfId="9" applyFont="1" applyFill="1" applyBorder="1" applyAlignment="1">
      <alignment horizontal="left"/>
    </xf>
    <xf numFmtId="0" fontId="35" fillId="3" borderId="1" xfId="4" applyFont="1" applyFill="1" applyBorder="1"/>
    <xf numFmtId="0" fontId="32" fillId="3" borderId="1" xfId="4" applyFont="1" applyFill="1" applyBorder="1"/>
    <xf numFmtId="0" fontId="8" fillId="3" borderId="1" xfId="9" applyFont="1" applyFill="1" applyBorder="1" applyAlignment="1">
      <alignment horizontal="center"/>
    </xf>
    <xf numFmtId="0" fontId="36" fillId="0" borderId="1" xfId="4" applyFont="1" applyBorder="1"/>
    <xf numFmtId="0" fontId="33" fillId="3" borderId="21" xfId="4" applyFont="1" applyFill="1" applyBorder="1"/>
    <xf numFmtId="0" fontId="9" fillId="7" borderId="17" xfId="9" applyFont="1" applyFill="1" applyBorder="1" applyAlignment="1">
      <alignment horizontal="center"/>
    </xf>
    <xf numFmtId="0" fontId="8" fillId="7" borderId="18" xfId="9" applyFont="1" applyFill="1" applyBorder="1" applyAlignment="1">
      <alignment horizontal="center"/>
    </xf>
    <xf numFmtId="0" fontId="8" fillId="7" borderId="18" xfId="9" applyFont="1" applyFill="1" applyBorder="1"/>
    <xf numFmtId="0" fontId="8" fillId="7" borderId="20" xfId="9" applyFont="1" applyFill="1" applyBorder="1" applyAlignment="1">
      <alignment horizontal="left"/>
    </xf>
    <xf numFmtId="0" fontId="28" fillId="0" borderId="0" xfId="9" applyFont="1" applyAlignment="1">
      <alignment horizontal="center"/>
    </xf>
    <xf numFmtId="0" fontId="5" fillId="0" borderId="0" xfId="9" applyAlignment="1">
      <alignment horizontal="left"/>
    </xf>
    <xf numFmtId="0" fontId="15" fillId="0" borderId="0" xfId="5" applyFont="1" applyAlignment="1">
      <alignment horizontal="left"/>
    </xf>
    <xf numFmtId="0" fontId="19" fillId="0" borderId="0" xfId="5" applyFont="1" applyAlignment="1">
      <alignment horizontal="left"/>
    </xf>
    <xf numFmtId="3" fontId="37" fillId="0" borderId="0" xfId="5" applyNumberFormat="1" applyFont="1" applyAlignment="1">
      <alignment horizontal="center"/>
    </xf>
    <xf numFmtId="3" fontId="37" fillId="0" borderId="1" xfId="5" applyNumberFormat="1" applyFont="1" applyBorder="1"/>
    <xf numFmtId="4" fontId="37" fillId="0" borderId="1" xfId="5" applyNumberFormat="1" applyFont="1" applyBorder="1"/>
    <xf numFmtId="3" fontId="9" fillId="0" borderId="1" xfId="5" applyNumberFormat="1" applyFont="1" applyBorder="1"/>
    <xf numFmtId="4" fontId="9" fillId="0" borderId="1" xfId="5" applyNumberFormat="1" applyFont="1" applyBorder="1"/>
    <xf numFmtId="3" fontId="9" fillId="0" borderId="8" xfId="5" applyNumberFormat="1" applyFont="1" applyBorder="1"/>
    <xf numFmtId="3" fontId="38" fillId="0" borderId="0" xfId="5" applyNumberFormat="1" applyFont="1"/>
    <xf numFmtId="4" fontId="38" fillId="0" borderId="0" xfId="5" applyNumberFormat="1" applyFont="1"/>
    <xf numFmtId="3" fontId="15" fillId="0" borderId="0" xfId="5" applyNumberFormat="1" applyFont="1"/>
    <xf numFmtId="3" fontId="9" fillId="0" borderId="0" xfId="5" applyNumberFormat="1" applyFont="1"/>
    <xf numFmtId="3" fontId="8" fillId="0" borderId="0" xfId="5" applyNumberFormat="1" applyFont="1"/>
    <xf numFmtId="4" fontId="9" fillId="0" borderId="0" xfId="5" applyNumberFormat="1" applyFont="1"/>
    <xf numFmtId="3" fontId="15" fillId="3" borderId="1" xfId="5" applyNumberFormat="1" applyFont="1" applyFill="1" applyBorder="1"/>
    <xf numFmtId="4" fontId="15" fillId="3" borderId="1" xfId="5" applyNumberFormat="1" applyFont="1" applyFill="1" applyBorder="1"/>
    <xf numFmtId="3" fontId="15" fillId="3" borderId="1" xfId="5" applyNumberFormat="1" applyFont="1" applyFill="1" applyBorder="1" applyAlignment="1">
      <alignment horizontal="right"/>
    </xf>
    <xf numFmtId="4" fontId="15" fillId="3" borderId="1" xfId="5" applyNumberFormat="1" applyFont="1" applyFill="1" applyBorder="1" applyAlignment="1">
      <alignment horizontal="right"/>
    </xf>
    <xf numFmtId="0" fontId="15" fillId="0" borderId="53" xfId="0" applyFont="1" applyBorder="1" applyAlignment="1">
      <alignment horizontal="left"/>
    </xf>
    <xf numFmtId="0" fontId="15" fillId="0" borderId="57" xfId="0" applyFont="1" applyBorder="1" applyAlignment="1">
      <alignment horizontal="left"/>
    </xf>
    <xf numFmtId="4" fontId="13" fillId="3" borderId="10" xfId="2" applyNumberFormat="1" applyFont="1" applyFill="1" applyBorder="1"/>
    <xf numFmtId="3" fontId="14" fillId="3" borderId="1" xfId="0" applyNumberFormat="1" applyFont="1" applyFill="1" applyBorder="1" applyAlignment="1">
      <alignment horizontal="right"/>
    </xf>
    <xf numFmtId="4" fontId="14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/>
    <xf numFmtId="4" fontId="14" fillId="3" borderId="1" xfId="0" applyNumberFormat="1" applyFont="1" applyFill="1" applyBorder="1"/>
    <xf numFmtId="3" fontId="14" fillId="3" borderId="27" xfId="0" applyNumberFormat="1" applyFont="1" applyFill="1" applyBorder="1" applyAlignment="1">
      <alignment horizontal="right"/>
    </xf>
    <xf numFmtId="3" fontId="14" fillId="3" borderId="27" xfId="0" applyNumberFormat="1" applyFont="1" applyFill="1" applyBorder="1"/>
    <xf numFmtId="3" fontId="14" fillId="3" borderId="21" xfId="0" applyNumberFormat="1" applyFont="1" applyFill="1" applyBorder="1" applyAlignment="1">
      <alignment horizontal="right"/>
    </xf>
    <xf numFmtId="4" fontId="14" fillId="3" borderId="21" xfId="0" applyNumberFormat="1" applyFont="1" applyFill="1" applyBorder="1" applyAlignment="1">
      <alignment horizontal="right"/>
    </xf>
    <xf numFmtId="3" fontId="14" fillId="4" borderId="17" xfId="0" applyNumberFormat="1" applyFont="1" applyFill="1" applyBorder="1" applyAlignment="1">
      <alignment horizontal="right"/>
    </xf>
    <xf numFmtId="3" fontId="14" fillId="4" borderId="22" xfId="0" applyNumberFormat="1" applyFont="1" applyFill="1" applyBorder="1" applyAlignment="1">
      <alignment horizontal="right"/>
    </xf>
    <xf numFmtId="3" fontId="14" fillId="3" borderId="1" xfId="9" applyNumberFormat="1" applyFont="1" applyFill="1" applyBorder="1"/>
    <xf numFmtId="4" fontId="14" fillId="3" borderId="1" xfId="9" applyNumberFormat="1" applyFont="1" applyFill="1" applyBorder="1"/>
    <xf numFmtId="3" fontId="25" fillId="3" borderId="1" xfId="9" applyNumberFormat="1" applyFont="1" applyFill="1" applyBorder="1"/>
    <xf numFmtId="4" fontId="25" fillId="3" borderId="1" xfId="9" applyNumberFormat="1" applyFont="1" applyFill="1" applyBorder="1"/>
    <xf numFmtId="3" fontId="15" fillId="3" borderId="1" xfId="9" applyNumberFormat="1" applyFont="1" applyFill="1" applyBorder="1"/>
    <xf numFmtId="4" fontId="15" fillId="3" borderId="1" xfId="9" applyNumberFormat="1" applyFont="1" applyFill="1" applyBorder="1"/>
    <xf numFmtId="3" fontId="15" fillId="3" borderId="1" xfId="9" applyNumberFormat="1" applyFont="1" applyFill="1" applyBorder="1" applyAlignment="1">
      <alignment horizontal="right"/>
    </xf>
    <xf numFmtId="4" fontId="15" fillId="3" borderId="1" xfId="9" applyNumberFormat="1" applyFont="1" applyFill="1" applyBorder="1" applyAlignment="1">
      <alignment horizontal="right"/>
    </xf>
    <xf numFmtId="0" fontId="15" fillId="0" borderId="61" xfId="0" applyFont="1" applyBorder="1" applyAlignment="1">
      <alignment horizontal="left"/>
    </xf>
    <xf numFmtId="0" fontId="15" fillId="0" borderId="60" xfId="0" applyFont="1" applyBorder="1" applyAlignment="1">
      <alignment horizontal="left"/>
    </xf>
    <xf numFmtId="3" fontId="14" fillId="3" borderId="1" xfId="9" applyNumberFormat="1" applyFont="1" applyFill="1" applyBorder="1" applyAlignment="1">
      <alignment horizontal="right"/>
    </xf>
    <xf numFmtId="4" fontId="14" fillId="3" borderId="1" xfId="9" applyNumberFormat="1" applyFont="1" applyFill="1" applyBorder="1" applyAlignment="1">
      <alignment horizontal="right"/>
    </xf>
    <xf numFmtId="3" fontId="14" fillId="7" borderId="17" xfId="9" applyNumberFormat="1" applyFont="1" applyFill="1" applyBorder="1"/>
    <xf numFmtId="3" fontId="14" fillId="7" borderId="18" xfId="9" applyNumberFormat="1" applyFont="1" applyFill="1" applyBorder="1"/>
    <xf numFmtId="4" fontId="14" fillId="7" borderId="18" xfId="9" applyNumberFormat="1" applyFont="1" applyFill="1" applyBorder="1"/>
    <xf numFmtId="3" fontId="13" fillId="3" borderId="1" xfId="9" applyNumberFormat="1" applyFont="1" applyFill="1" applyBorder="1" applyAlignment="1">
      <alignment horizontal="right"/>
    </xf>
    <xf numFmtId="4" fontId="13" fillId="3" borderId="1" xfId="9" applyNumberFormat="1" applyFont="1" applyFill="1" applyBorder="1" applyAlignment="1">
      <alignment horizontal="right"/>
    </xf>
    <xf numFmtId="3" fontId="13" fillId="3" borderId="1" xfId="9" applyNumberFormat="1" applyFont="1" applyFill="1" applyBorder="1"/>
    <xf numFmtId="4" fontId="13" fillId="3" borderId="1" xfId="9" applyNumberFormat="1" applyFont="1" applyFill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9" fillId="0" borderId="34" xfId="0" applyNumberFormat="1" applyFont="1" applyBorder="1"/>
    <xf numFmtId="4" fontId="9" fillId="0" borderId="5" xfId="0" applyNumberFormat="1" applyFont="1" applyBorder="1"/>
    <xf numFmtId="4" fontId="9" fillId="0" borderId="6" xfId="0" applyNumberFormat="1" applyFont="1" applyBorder="1"/>
    <xf numFmtId="3" fontId="15" fillId="3" borderId="12" xfId="5" applyNumberFormat="1" applyFont="1" applyFill="1" applyBorder="1"/>
    <xf numFmtId="3" fontId="25" fillId="3" borderId="12" xfId="9" applyNumberFormat="1" applyFont="1" applyFill="1" applyBorder="1"/>
    <xf numFmtId="4" fontId="25" fillId="3" borderId="12" xfId="9" applyNumberFormat="1" applyFont="1" applyFill="1" applyBorder="1"/>
    <xf numFmtId="3" fontId="13" fillId="3" borderId="1" xfId="2" applyNumberFormat="1" applyFont="1" applyFill="1" applyBorder="1"/>
    <xf numFmtId="3" fontId="15" fillId="0" borderId="0" xfId="0" applyNumberFormat="1" applyFont="1" applyAlignment="1">
      <alignment horizontal="left" vertical="center" wrapText="1"/>
    </xf>
    <xf numFmtId="3" fontId="41" fillId="0" borderId="0" xfId="0" applyNumberFormat="1" applyFont="1" applyAlignment="1">
      <alignment horizontal="left" vertical="center" wrapText="1"/>
    </xf>
    <xf numFmtId="4" fontId="15" fillId="0" borderId="0" xfId="5" applyNumberFormat="1" applyFont="1"/>
    <xf numFmtId="3" fontId="37" fillId="0" borderId="27" xfId="5" applyNumberFormat="1" applyFont="1" applyBorder="1"/>
    <xf numFmtId="4" fontId="25" fillId="3" borderId="14" xfId="9" applyNumberFormat="1" applyFont="1" applyFill="1" applyBorder="1"/>
    <xf numFmtId="3" fontId="14" fillId="3" borderId="12" xfId="9" applyNumberFormat="1" applyFont="1" applyFill="1" applyBorder="1"/>
    <xf numFmtId="4" fontId="14" fillId="3" borderId="12" xfId="9" applyNumberFormat="1" applyFont="1" applyFill="1" applyBorder="1"/>
    <xf numFmtId="4" fontId="14" fillId="3" borderId="14" xfId="9" applyNumberFormat="1" applyFont="1" applyFill="1" applyBorder="1"/>
    <xf numFmtId="3" fontId="28" fillId="0" borderId="0" xfId="5" applyNumberFormat="1" applyFont="1" applyAlignment="1">
      <alignment horizontal="center"/>
    </xf>
    <xf numFmtId="0" fontId="9" fillId="0" borderId="1" xfId="0" applyFont="1" applyBorder="1" applyProtection="1">
      <protection locked="0"/>
    </xf>
    <xf numFmtId="0" fontId="15" fillId="3" borderId="1" xfId="0" applyFont="1" applyFill="1" applyBorder="1" applyProtection="1">
      <protection locked="0"/>
    </xf>
    <xf numFmtId="0" fontId="44" fillId="0" borderId="0" xfId="5" applyFont="1" applyAlignment="1">
      <alignment horizontal="left"/>
    </xf>
    <xf numFmtId="0" fontId="44" fillId="0" borderId="0" xfId="5" applyFont="1" applyAlignment="1">
      <alignment horizontal="center"/>
    </xf>
    <xf numFmtId="0" fontId="44" fillId="0" borderId="0" xfId="5" applyFont="1" applyAlignment="1">
      <alignment horizontal="right"/>
    </xf>
    <xf numFmtId="0" fontId="27" fillId="0" borderId="1" xfId="9" applyFont="1" applyBorder="1" applyAlignment="1">
      <alignment horizontal="center"/>
    </xf>
    <xf numFmtId="0" fontId="25" fillId="3" borderId="4" xfId="9" applyFont="1" applyFill="1" applyBorder="1" applyAlignment="1">
      <alignment horizontal="center"/>
    </xf>
    <xf numFmtId="0" fontId="25" fillId="3" borderId="5" xfId="9" applyFont="1" applyFill="1" applyBorder="1" applyAlignment="1">
      <alignment horizontal="center"/>
    </xf>
    <xf numFmtId="0" fontId="29" fillId="3" borderId="63" xfId="9" applyFont="1" applyFill="1" applyBorder="1" applyAlignment="1">
      <alignment horizontal="center"/>
    </xf>
    <xf numFmtId="0" fontId="25" fillId="3" borderId="34" xfId="9" applyFont="1" applyFill="1" applyBorder="1"/>
    <xf numFmtId="4" fontId="13" fillId="3" borderId="1" xfId="2" applyNumberFormat="1" applyFont="1" applyFill="1" applyBorder="1"/>
    <xf numFmtId="0" fontId="9" fillId="0" borderId="1" xfId="5" applyFont="1" applyBorder="1" applyAlignment="1">
      <alignment horizontal="left"/>
    </xf>
    <xf numFmtId="0" fontId="9" fillId="2" borderId="1" xfId="5" applyFont="1" applyFill="1" applyBorder="1" applyAlignment="1">
      <alignment horizontal="left"/>
    </xf>
    <xf numFmtId="3" fontId="15" fillId="6" borderId="62" xfId="5" applyNumberFormat="1" applyFont="1" applyFill="1" applyBorder="1"/>
    <xf numFmtId="4" fontId="13" fillId="4" borderId="18" xfId="2" applyNumberFormat="1" applyFont="1" applyFill="1" applyBorder="1"/>
    <xf numFmtId="4" fontId="13" fillId="4" borderId="19" xfId="2" applyNumberFormat="1" applyFont="1" applyFill="1" applyBorder="1"/>
    <xf numFmtId="0" fontId="13" fillId="4" borderId="20" xfId="2" applyFont="1" applyFill="1" applyBorder="1"/>
    <xf numFmtId="3" fontId="13" fillId="4" borderId="18" xfId="2" applyNumberFormat="1" applyFont="1" applyFill="1" applyBorder="1"/>
    <xf numFmtId="3" fontId="25" fillId="5" borderId="62" xfId="9" applyNumberFormat="1" applyFont="1" applyFill="1" applyBorder="1"/>
    <xf numFmtId="0" fontId="13" fillId="3" borderId="9" xfId="2" applyFont="1" applyFill="1" applyBorder="1"/>
    <xf numFmtId="0" fontId="13" fillId="3" borderId="29" xfId="2" applyFont="1" applyFill="1" applyBorder="1"/>
    <xf numFmtId="3" fontId="14" fillId="7" borderId="22" xfId="9" applyNumberFormat="1" applyFont="1" applyFill="1" applyBorder="1"/>
    <xf numFmtId="3" fontId="37" fillId="0" borderId="5" xfId="5" applyNumberFormat="1" applyFont="1" applyBorder="1"/>
    <xf numFmtId="4" fontId="25" fillId="5" borderId="62" xfId="9" applyNumberFormat="1" applyFont="1" applyFill="1" applyBorder="1"/>
    <xf numFmtId="4" fontId="41" fillId="0" borderId="0" xfId="0" applyNumberFormat="1" applyFont="1" applyAlignment="1">
      <alignment horizontal="left" vertical="center" wrapText="1"/>
    </xf>
    <xf numFmtId="0" fontId="10" fillId="0" borderId="6" xfId="2" applyFont="1" applyBorder="1"/>
    <xf numFmtId="3" fontId="13" fillId="3" borderId="21" xfId="2" applyNumberFormat="1" applyFont="1" applyFill="1" applyBorder="1"/>
    <xf numFmtId="4" fontId="13" fillId="3" borderId="21" xfId="2" applyNumberFormat="1" applyFont="1" applyFill="1" applyBorder="1"/>
    <xf numFmtId="3" fontId="25" fillId="5" borderId="35" xfId="9" applyNumberFormat="1" applyFont="1" applyFill="1" applyBorder="1"/>
    <xf numFmtId="3" fontId="14" fillId="7" borderId="35" xfId="9" applyNumberFormat="1" applyFont="1" applyFill="1" applyBorder="1"/>
    <xf numFmtId="4" fontId="14" fillId="4" borderId="22" xfId="0" applyNumberFormat="1" applyFont="1" applyFill="1" applyBorder="1" applyAlignment="1">
      <alignment horizontal="right"/>
    </xf>
    <xf numFmtId="0" fontId="14" fillId="7" borderId="56" xfId="9" applyFont="1" applyFill="1" applyBorder="1"/>
    <xf numFmtId="0" fontId="15" fillId="3" borderId="12" xfId="9" applyFont="1" applyFill="1" applyBorder="1"/>
    <xf numFmtId="3" fontId="15" fillId="4" borderId="17" xfId="0" applyNumberFormat="1" applyFont="1" applyFill="1" applyBorder="1"/>
    <xf numFmtId="3" fontId="15" fillId="4" borderId="18" xfId="0" applyNumberFormat="1" applyFont="1" applyFill="1" applyBorder="1"/>
    <xf numFmtId="3" fontId="28" fillId="0" borderId="1" xfId="5" applyNumberFormat="1" applyFont="1" applyBorder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4" xfId="0" applyFont="1" applyBorder="1"/>
    <xf numFmtId="0" fontId="8" fillId="0" borderId="24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3" fontId="8" fillId="0" borderId="5" xfId="5" applyNumberFormat="1" applyFont="1" applyBorder="1"/>
    <xf numFmtId="3" fontId="14" fillId="7" borderId="44" xfId="9" applyNumberFormat="1" applyFont="1" applyFill="1" applyBorder="1"/>
    <xf numFmtId="4" fontId="14" fillId="7" borderId="44" xfId="9" applyNumberFormat="1" applyFont="1" applyFill="1" applyBorder="1"/>
    <xf numFmtId="3" fontId="9" fillId="0" borderId="24" xfId="0" applyNumberFormat="1" applyFont="1" applyBorder="1"/>
    <xf numFmtId="3" fontId="15" fillId="6" borderId="44" xfId="5" applyNumberFormat="1" applyFont="1" applyFill="1" applyBorder="1"/>
    <xf numFmtId="3" fontId="25" fillId="4" borderId="62" xfId="9" applyNumberFormat="1" applyFont="1" applyFill="1" applyBorder="1"/>
    <xf numFmtId="3" fontId="14" fillId="4" borderId="18" xfId="9" applyNumberFormat="1" applyFont="1" applyFill="1" applyBorder="1"/>
    <xf numFmtId="3" fontId="14" fillId="4" borderId="44" xfId="9" applyNumberFormat="1" applyFont="1" applyFill="1" applyBorder="1"/>
    <xf numFmtId="0" fontId="9" fillId="9" borderId="27" xfId="9" applyFont="1" applyFill="1" applyBorder="1"/>
    <xf numFmtId="3" fontId="9" fillId="0" borderId="27" xfId="5" applyNumberFormat="1" applyFont="1" applyBorder="1"/>
    <xf numFmtId="3" fontId="14" fillId="7" borderId="62" xfId="9" applyNumberFormat="1" applyFont="1" applyFill="1" applyBorder="1"/>
    <xf numFmtId="3" fontId="15" fillId="3" borderId="27" xfId="9" applyNumberFormat="1" applyFont="1" applyFill="1" applyBorder="1"/>
    <xf numFmtId="3" fontId="15" fillId="3" borderId="27" xfId="9" applyNumberFormat="1" applyFont="1" applyFill="1" applyBorder="1" applyAlignment="1">
      <alignment horizontal="right"/>
    </xf>
    <xf numFmtId="3" fontId="13" fillId="3" borderId="27" xfId="2" applyNumberFormat="1" applyFont="1" applyFill="1" applyBorder="1"/>
    <xf numFmtId="3" fontId="9" fillId="0" borderId="34" xfId="5" applyNumberFormat="1" applyFont="1" applyBorder="1"/>
    <xf numFmtId="3" fontId="13" fillId="3" borderId="28" xfId="2" applyNumberFormat="1" applyFont="1" applyFill="1" applyBorder="1"/>
    <xf numFmtId="3" fontId="14" fillId="3" borderId="28" xfId="0" applyNumberFormat="1" applyFont="1" applyFill="1" applyBorder="1" applyAlignment="1">
      <alignment horizontal="right"/>
    </xf>
    <xf numFmtId="3" fontId="14" fillId="3" borderId="28" xfId="0" applyNumberFormat="1" applyFont="1" applyFill="1" applyBorder="1"/>
    <xf numFmtId="3" fontId="14" fillId="3" borderId="21" xfId="0" applyNumberFormat="1" applyFont="1" applyFill="1" applyBorder="1"/>
    <xf numFmtId="4" fontId="14" fillId="3" borderId="21" xfId="0" applyNumberFormat="1" applyFont="1" applyFill="1" applyBorder="1"/>
    <xf numFmtId="3" fontId="14" fillId="4" borderId="17" xfId="0" applyNumberFormat="1" applyFont="1" applyFill="1" applyBorder="1"/>
    <xf numFmtId="3" fontId="14" fillId="4" borderId="62" xfId="0" applyNumberFormat="1" applyFont="1" applyFill="1" applyBorder="1" applyAlignment="1">
      <alignment horizontal="right"/>
    </xf>
    <xf numFmtId="4" fontId="14" fillId="4" borderId="62" xfId="0" applyNumberFormat="1" applyFont="1" applyFill="1" applyBorder="1" applyAlignment="1">
      <alignment horizontal="right"/>
    </xf>
    <xf numFmtId="3" fontId="14" fillId="3" borderId="12" xfId="0" applyNumberFormat="1" applyFont="1" applyFill="1" applyBorder="1" applyAlignment="1">
      <alignment horizontal="right"/>
    </xf>
    <xf numFmtId="3" fontId="14" fillId="3" borderId="12" xfId="0" applyNumberFormat="1" applyFont="1" applyFill="1" applyBorder="1"/>
    <xf numFmtId="4" fontId="14" fillId="4" borderId="62" xfId="0" applyNumberFormat="1" applyFont="1" applyFill="1" applyBorder="1"/>
    <xf numFmtId="4" fontId="14" fillId="3" borderId="12" xfId="0" applyNumberFormat="1" applyFont="1" applyFill="1" applyBorder="1"/>
    <xf numFmtId="4" fontId="14" fillId="3" borderId="14" xfId="0" applyNumberFormat="1" applyFont="1" applyFill="1" applyBorder="1"/>
    <xf numFmtId="4" fontId="14" fillId="3" borderId="12" xfId="0" applyNumberFormat="1" applyFont="1" applyFill="1" applyBorder="1" applyAlignment="1">
      <alignment horizontal="right"/>
    </xf>
    <xf numFmtId="4" fontId="14" fillId="3" borderId="14" xfId="0" applyNumberFormat="1" applyFont="1" applyFill="1" applyBorder="1" applyAlignment="1">
      <alignment horizontal="right"/>
    </xf>
    <xf numFmtId="3" fontId="13" fillId="4" borderId="22" xfId="2" applyNumberFormat="1" applyFont="1" applyFill="1" applyBorder="1"/>
    <xf numFmtId="3" fontId="23" fillId="0" borderId="0" xfId="9" applyNumberFormat="1" applyFont="1"/>
    <xf numFmtId="4" fontId="23" fillId="0" borderId="0" xfId="9" applyNumberFormat="1" applyFont="1"/>
    <xf numFmtId="3" fontId="28" fillId="0" borderId="0" xfId="9" applyNumberFormat="1" applyFont="1"/>
    <xf numFmtId="3" fontId="13" fillId="3" borderId="27" xfId="9" applyNumberFormat="1" applyFont="1" applyFill="1" applyBorder="1" applyAlignment="1">
      <alignment horizontal="right"/>
    </xf>
    <xf numFmtId="3" fontId="14" fillId="3" borderId="27" xfId="9" applyNumberFormat="1" applyFont="1" applyFill="1" applyBorder="1"/>
    <xf numFmtId="3" fontId="13" fillId="3" borderId="27" xfId="9" applyNumberFormat="1" applyFont="1" applyFill="1" applyBorder="1"/>
    <xf numFmtId="3" fontId="14" fillId="3" borderId="27" xfId="9" applyNumberFormat="1" applyFont="1" applyFill="1" applyBorder="1" applyAlignment="1">
      <alignment horizontal="right"/>
    </xf>
    <xf numFmtId="3" fontId="14" fillId="3" borderId="38" xfId="9" applyNumberFormat="1" applyFont="1" applyFill="1" applyBorder="1"/>
    <xf numFmtId="3" fontId="9" fillId="9" borderId="1" xfId="5" applyNumberFormat="1" applyFont="1" applyFill="1" applyBorder="1"/>
    <xf numFmtId="0" fontId="37" fillId="0" borderId="0" xfId="14" applyFont="1"/>
    <xf numFmtId="4" fontId="37" fillId="0" borderId="0" xfId="14" applyNumberFormat="1" applyFont="1"/>
    <xf numFmtId="3" fontId="37" fillId="0" borderId="0" xfId="14" applyNumberFormat="1" applyFont="1"/>
    <xf numFmtId="0" fontId="37" fillId="0" borderId="0" xfId="14" applyFont="1" applyAlignment="1">
      <alignment horizontal="center"/>
    </xf>
    <xf numFmtId="0" fontId="37" fillId="0" borderId="0" xfId="14" applyFont="1" applyAlignment="1">
      <alignment horizontal="right"/>
    </xf>
    <xf numFmtId="4" fontId="37" fillId="0" borderId="0" xfId="14" applyNumberFormat="1" applyFont="1" applyAlignment="1">
      <alignment horizontal="center"/>
    </xf>
    <xf numFmtId="4" fontId="40" fillId="7" borderId="44" xfId="14" applyNumberFormat="1" applyFont="1" applyFill="1" applyBorder="1"/>
    <xf numFmtId="3" fontId="40" fillId="7" borderId="44" xfId="14" applyNumberFormat="1" applyFont="1" applyFill="1" applyBorder="1"/>
    <xf numFmtId="3" fontId="40" fillId="7" borderId="62" xfId="14" applyNumberFormat="1" applyFont="1" applyFill="1" applyBorder="1"/>
    <xf numFmtId="3" fontId="40" fillId="4" borderId="20" xfId="14" applyNumberFormat="1" applyFont="1" applyFill="1" applyBorder="1"/>
    <xf numFmtId="3" fontId="14" fillId="4" borderId="18" xfId="14" applyNumberFormat="1" applyFont="1" applyFill="1" applyBorder="1"/>
    <xf numFmtId="3" fontId="40" fillId="4" borderId="37" xfId="14" applyNumberFormat="1" applyFont="1" applyFill="1" applyBorder="1" applyAlignment="1">
      <alignment horizontal="center"/>
    </xf>
    <xf numFmtId="4" fontId="14" fillId="3" borderId="14" xfId="14" applyNumberFormat="1" applyFont="1" applyFill="1" applyBorder="1"/>
    <xf numFmtId="4" fontId="14" fillId="3" borderId="12" xfId="14" applyNumberFormat="1" applyFont="1" applyFill="1" applyBorder="1"/>
    <xf numFmtId="3" fontId="14" fillId="3" borderId="12" xfId="14" applyNumberFormat="1" applyFont="1" applyFill="1" applyBorder="1"/>
    <xf numFmtId="3" fontId="14" fillId="3" borderId="38" xfId="14" applyNumberFormat="1" applyFont="1" applyFill="1" applyBorder="1"/>
    <xf numFmtId="0" fontId="14" fillId="3" borderId="12" xfId="14" applyFont="1" applyFill="1" applyBorder="1" applyAlignment="1">
      <alignment horizontal="left"/>
    </xf>
    <xf numFmtId="49" fontId="14" fillId="3" borderId="1" xfId="14" applyNumberFormat="1" applyFont="1" applyFill="1" applyBorder="1" applyAlignment="1">
      <alignment horizontal="right"/>
    </xf>
    <xf numFmtId="1" fontId="14" fillId="3" borderId="1" xfId="14" applyNumberFormat="1" applyFont="1" applyFill="1" applyBorder="1" applyAlignment="1">
      <alignment horizontal="right"/>
    </xf>
    <xf numFmtId="3" fontId="37" fillId="0" borderId="1" xfId="14" applyNumberFormat="1" applyFont="1" applyBorder="1"/>
    <xf numFmtId="4" fontId="9" fillId="0" borderId="1" xfId="14" applyNumberFormat="1" applyFont="1" applyBorder="1"/>
    <xf numFmtId="3" fontId="9" fillId="0" borderId="1" xfId="14" applyNumberFormat="1" applyFont="1" applyBorder="1"/>
    <xf numFmtId="3" fontId="9" fillId="0" borderId="27" xfId="14" applyNumberFormat="1" applyFont="1" applyBorder="1"/>
    <xf numFmtId="3" fontId="8" fillId="0" borderId="1" xfId="14" applyNumberFormat="1" applyFont="1" applyBorder="1"/>
    <xf numFmtId="0" fontId="8" fillId="0" borderId="9" xfId="14" applyFont="1" applyBorder="1"/>
    <xf numFmtId="0" fontId="8" fillId="0" borderId="1" xfId="14" applyFont="1" applyBorder="1" applyAlignment="1">
      <alignment horizontal="left"/>
    </xf>
    <xf numFmtId="49" fontId="8" fillId="0" borderId="1" xfId="14" applyNumberFormat="1" applyFont="1" applyBorder="1" applyAlignment="1">
      <alignment horizontal="right"/>
    </xf>
    <xf numFmtId="1" fontId="8" fillId="0" borderId="1" xfId="14" applyNumberFormat="1" applyFont="1" applyBorder="1" applyAlignment="1">
      <alignment horizontal="right"/>
    </xf>
    <xf numFmtId="0" fontId="8" fillId="0" borderId="1" xfId="14" applyFont="1" applyBorder="1" applyAlignment="1">
      <alignment horizontal="center"/>
    </xf>
    <xf numFmtId="0" fontId="8" fillId="0" borderId="1" xfId="14" applyFont="1" applyBorder="1" applyProtection="1">
      <protection locked="0"/>
    </xf>
    <xf numFmtId="0" fontId="8" fillId="0" borderId="1" xfId="14" applyFont="1" applyBorder="1" applyAlignment="1" applyProtection="1">
      <alignment horizontal="center"/>
      <protection locked="0"/>
    </xf>
    <xf numFmtId="4" fontId="14" fillId="3" borderId="1" xfId="14" applyNumberFormat="1" applyFont="1" applyFill="1" applyBorder="1"/>
    <xf numFmtId="3" fontId="14" fillId="3" borderId="1" xfId="14" applyNumberFormat="1" applyFont="1" applyFill="1" applyBorder="1"/>
    <xf numFmtId="3" fontId="14" fillId="3" borderId="27" xfId="14" applyNumberFormat="1" applyFont="1" applyFill="1" applyBorder="1"/>
    <xf numFmtId="0" fontId="14" fillId="3" borderId="9" xfId="14" applyFont="1" applyFill="1" applyBorder="1"/>
    <xf numFmtId="0" fontId="14" fillId="3" borderId="1" xfId="14" applyFont="1" applyFill="1" applyBorder="1"/>
    <xf numFmtId="0" fontId="8" fillId="3" borderId="1" xfId="14" applyFont="1" applyFill="1" applyBorder="1" applyAlignment="1">
      <alignment horizontal="center"/>
    </xf>
    <xf numFmtId="0" fontId="14" fillId="3" borderId="1" xfId="14" applyFont="1" applyFill="1" applyBorder="1" applyAlignment="1">
      <alignment horizontal="right"/>
    </xf>
    <xf numFmtId="0" fontId="14" fillId="3" borderId="1" xfId="14" applyFont="1" applyFill="1" applyBorder="1" applyAlignment="1" applyProtection="1">
      <alignment horizontal="right"/>
      <protection locked="0"/>
    </xf>
    <xf numFmtId="0" fontId="14" fillId="3" borderId="1" xfId="14" applyFont="1" applyFill="1" applyBorder="1" applyAlignment="1">
      <alignment horizontal="center"/>
    </xf>
    <xf numFmtId="0" fontId="8" fillId="0" borderId="1" xfId="14" applyFont="1" applyBorder="1"/>
    <xf numFmtId="0" fontId="8" fillId="0" borderId="1" xfId="14" applyFont="1" applyBorder="1" applyAlignment="1">
      <alignment horizontal="right"/>
    </xf>
    <xf numFmtId="0" fontId="8" fillId="0" borderId="1" xfId="14" applyFont="1" applyBorder="1" applyAlignment="1" applyProtection="1">
      <alignment horizontal="right"/>
      <protection locked="0"/>
    </xf>
    <xf numFmtId="0" fontId="9" fillId="0" borderId="1" xfId="14" applyFont="1" applyBorder="1"/>
    <xf numFmtId="4" fontId="38" fillId="3" borderId="1" xfId="14" applyNumberFormat="1" applyFont="1" applyFill="1" applyBorder="1"/>
    <xf numFmtId="3" fontId="38" fillId="3" borderId="1" xfId="14" applyNumberFormat="1" applyFont="1" applyFill="1" applyBorder="1"/>
    <xf numFmtId="3" fontId="38" fillId="3" borderId="27" xfId="14" applyNumberFormat="1" applyFont="1" applyFill="1" applyBorder="1"/>
    <xf numFmtId="4" fontId="14" fillId="3" borderId="1" xfId="14" applyNumberFormat="1" applyFont="1" applyFill="1" applyBorder="1" applyAlignment="1">
      <alignment horizontal="right"/>
    </xf>
    <xf numFmtId="3" fontId="14" fillId="3" borderId="1" xfId="14" applyNumberFormat="1" applyFont="1" applyFill="1" applyBorder="1" applyAlignment="1">
      <alignment horizontal="right"/>
    </xf>
    <xf numFmtId="3" fontId="14" fillId="3" borderId="27" xfId="14" applyNumberFormat="1" applyFont="1" applyFill="1" applyBorder="1" applyAlignment="1">
      <alignment horizontal="right"/>
    </xf>
    <xf numFmtId="0" fontId="14" fillId="3" borderId="10" xfId="14" applyFont="1" applyFill="1" applyBorder="1" applyAlignment="1">
      <alignment horizontal="left"/>
    </xf>
    <xf numFmtId="0" fontId="8" fillId="0" borderId="27" xfId="14" applyFont="1" applyBorder="1" applyAlignment="1">
      <alignment horizontal="center"/>
    </xf>
    <xf numFmtId="0" fontId="8" fillId="0" borderId="1" xfId="14" applyFont="1" applyBorder="1" applyAlignment="1">
      <alignment wrapText="1"/>
    </xf>
    <xf numFmtId="3" fontId="37" fillId="0" borderId="24" xfId="14" applyNumberFormat="1" applyFont="1" applyBorder="1"/>
    <xf numFmtId="4" fontId="9" fillId="0" borderId="24" xfId="14" applyNumberFormat="1" applyFont="1" applyBorder="1"/>
    <xf numFmtId="3" fontId="9" fillId="0" borderId="24" xfId="14" applyNumberFormat="1" applyFont="1" applyBorder="1"/>
    <xf numFmtId="0" fontId="8" fillId="0" borderId="6" xfId="14" applyFont="1" applyBorder="1"/>
    <xf numFmtId="0" fontId="8" fillId="0" borderId="5" xfId="14" applyFont="1" applyBorder="1"/>
    <xf numFmtId="0" fontId="8" fillId="0" borderId="5" xfId="14" applyFont="1" applyBorder="1" applyAlignment="1">
      <alignment horizontal="center"/>
    </xf>
    <xf numFmtId="0" fontId="8" fillId="0" borderId="5" xfId="14" applyFont="1" applyBorder="1" applyAlignment="1">
      <alignment horizontal="right"/>
    </xf>
    <xf numFmtId="0" fontId="8" fillId="0" borderId="5" xfId="14" applyFont="1" applyBorder="1" applyAlignment="1" applyProtection="1">
      <alignment horizontal="right"/>
      <protection locked="0"/>
    </xf>
    <xf numFmtId="0" fontId="23" fillId="0" borderId="0" xfId="14" applyFont="1"/>
    <xf numFmtId="3" fontId="23" fillId="8" borderId="18" xfId="14" applyNumberFormat="1" applyFont="1" applyFill="1" applyBorder="1" applyAlignment="1">
      <alignment horizontal="center"/>
    </xf>
    <xf numFmtId="3" fontId="23" fillId="8" borderId="22" xfId="14" applyNumberFormat="1" applyFont="1" applyFill="1" applyBorder="1" applyAlignment="1">
      <alignment horizontal="center"/>
    </xf>
    <xf numFmtId="3" fontId="23" fillId="8" borderId="32" xfId="14" applyNumberFormat="1" applyFont="1" applyFill="1" applyBorder="1" applyAlignment="1">
      <alignment horizontal="center"/>
    </xf>
    <xf numFmtId="3" fontId="23" fillId="8" borderId="31" xfId="14" applyNumberFormat="1" applyFont="1" applyFill="1" applyBorder="1" applyAlignment="1">
      <alignment horizontal="center"/>
    </xf>
    <xf numFmtId="0" fontId="23" fillId="8" borderId="20" xfId="14" applyFont="1" applyFill="1" applyBorder="1" applyAlignment="1">
      <alignment horizontal="center"/>
    </xf>
    <xf numFmtId="0" fontId="23" fillId="8" borderId="18" xfId="14" applyFont="1" applyFill="1" applyBorder="1" applyAlignment="1">
      <alignment horizontal="center"/>
    </xf>
    <xf numFmtId="0" fontId="23" fillId="8" borderId="17" xfId="14" applyFont="1" applyFill="1" applyBorder="1" applyAlignment="1">
      <alignment horizontal="center"/>
    </xf>
    <xf numFmtId="0" fontId="38" fillId="0" borderId="18" xfId="14" applyFont="1" applyBorder="1" applyAlignment="1">
      <alignment horizontal="center" vertical="center" wrapText="1"/>
    </xf>
    <xf numFmtId="0" fontId="38" fillId="0" borderId="18" xfId="14" applyFont="1" applyBorder="1" applyAlignment="1">
      <alignment horizontal="center" vertical="center"/>
    </xf>
    <xf numFmtId="0" fontId="38" fillId="0" borderId="17" xfId="14" applyFont="1" applyBorder="1" applyAlignment="1">
      <alignment horizontal="center" vertical="center"/>
    </xf>
    <xf numFmtId="0" fontId="38" fillId="0" borderId="0" xfId="14" applyFont="1" applyAlignment="1">
      <alignment vertical="center"/>
    </xf>
    <xf numFmtId="0" fontId="37" fillId="0" borderId="0" xfId="14" applyFont="1" applyAlignment="1">
      <alignment horizontal="center" vertical="center"/>
    </xf>
    <xf numFmtId="0" fontId="38" fillId="0" borderId="0" xfId="14" applyFont="1"/>
    <xf numFmtId="0" fontId="38" fillId="0" borderId="0" xfId="14" applyFont="1" applyAlignment="1">
      <alignment horizontal="right"/>
    </xf>
    <xf numFmtId="0" fontId="38" fillId="0" borderId="0" xfId="14" applyFont="1" applyAlignment="1">
      <alignment horizontal="center"/>
    </xf>
    <xf numFmtId="0" fontId="44" fillId="0" borderId="0" xfId="14" applyFont="1" applyAlignment="1">
      <alignment horizontal="center"/>
    </xf>
    <xf numFmtId="0" fontId="44" fillId="0" borderId="0" xfId="14" applyFont="1" applyAlignment="1">
      <alignment horizontal="right"/>
    </xf>
    <xf numFmtId="0" fontId="44" fillId="0" borderId="0" xfId="14" applyFont="1" applyAlignment="1">
      <alignment horizontal="left"/>
    </xf>
    <xf numFmtId="0" fontId="37" fillId="0" borderId="0" xfId="15" applyFont="1" applyAlignment="1">
      <alignment horizontal="center"/>
    </xf>
    <xf numFmtId="3" fontId="14" fillId="3" borderId="21" xfId="14" applyNumberFormat="1" applyFont="1" applyFill="1" applyBorder="1"/>
    <xf numFmtId="3" fontId="14" fillId="3" borderId="21" xfId="14" applyNumberFormat="1" applyFont="1" applyFill="1" applyBorder="1" applyAlignment="1">
      <alignment horizontal="right"/>
    </xf>
    <xf numFmtId="3" fontId="38" fillId="3" borderId="21" xfId="14" applyNumberFormat="1" applyFont="1" applyFill="1" applyBorder="1"/>
    <xf numFmtId="3" fontId="9" fillId="0" borderId="4" xfId="5" applyNumberFormat="1" applyFont="1" applyBorder="1"/>
    <xf numFmtId="3" fontId="23" fillId="8" borderId="51" xfId="14" applyNumberFormat="1" applyFont="1" applyFill="1" applyBorder="1" applyAlignment="1">
      <alignment horizontal="center"/>
    </xf>
    <xf numFmtId="3" fontId="15" fillId="3" borderId="21" xfId="5" applyNumberFormat="1" applyFont="1" applyFill="1" applyBorder="1"/>
    <xf numFmtId="3" fontId="15" fillId="3" borderId="21" xfId="5" applyNumberFormat="1" applyFont="1" applyFill="1" applyBorder="1" applyAlignment="1">
      <alignment horizontal="right"/>
    </xf>
    <xf numFmtId="3" fontId="37" fillId="0" borderId="5" xfId="14" applyNumberFormat="1" applyFont="1" applyBorder="1"/>
    <xf numFmtId="0" fontId="14" fillId="3" borderId="9" xfId="0" applyFont="1" applyFill="1" applyBorder="1"/>
    <xf numFmtId="0" fontId="14" fillId="3" borderId="29" xfId="0" applyFont="1" applyFill="1" applyBorder="1"/>
    <xf numFmtId="0" fontId="8" fillId="0" borderId="30" xfId="0" applyFont="1" applyBorder="1"/>
    <xf numFmtId="0" fontId="8" fillId="0" borderId="9" xfId="0" applyFont="1" applyBorder="1"/>
    <xf numFmtId="0" fontId="10" fillId="0" borderId="30" xfId="0" applyFont="1" applyBorder="1"/>
    <xf numFmtId="0" fontId="10" fillId="0" borderId="9" xfId="0" applyFont="1" applyBorder="1"/>
    <xf numFmtId="3" fontId="15" fillId="3" borderId="21" xfId="9" applyNumberFormat="1" applyFont="1" applyFill="1" applyBorder="1"/>
    <xf numFmtId="0" fontId="15" fillId="3" borderId="45" xfId="9" applyFont="1" applyFill="1" applyBorder="1" applyAlignment="1">
      <alignment horizontal="left"/>
    </xf>
    <xf numFmtId="0" fontId="15" fillId="3" borderId="45" xfId="9" applyFont="1" applyFill="1" applyBorder="1"/>
    <xf numFmtId="0" fontId="9" fillId="3" borderId="45" xfId="9" applyFont="1" applyFill="1" applyBorder="1"/>
    <xf numFmtId="0" fontId="15" fillId="3" borderId="46" xfId="9" applyFont="1" applyFill="1" applyBorder="1"/>
    <xf numFmtId="3" fontId="13" fillId="3" borderId="21" xfId="9" applyNumberFormat="1" applyFont="1" applyFill="1" applyBorder="1" applyAlignment="1">
      <alignment horizontal="right"/>
    </xf>
    <xf numFmtId="3" fontId="14" fillId="3" borderId="21" xfId="9" applyNumberFormat="1" applyFont="1" applyFill="1" applyBorder="1"/>
    <xf numFmtId="3" fontId="13" fillId="3" borderId="21" xfId="9" applyNumberFormat="1" applyFont="1" applyFill="1" applyBorder="1"/>
    <xf numFmtId="3" fontId="14" fillId="3" borderId="21" xfId="9" applyNumberFormat="1" applyFont="1" applyFill="1" applyBorder="1" applyAlignment="1">
      <alignment horizontal="right"/>
    </xf>
    <xf numFmtId="3" fontId="23" fillId="8" borderId="17" xfId="14" applyNumberFormat="1" applyFont="1" applyFill="1" applyBorder="1" applyAlignment="1">
      <alignment horizontal="center"/>
    </xf>
    <xf numFmtId="4" fontId="23" fillId="8" borderId="64" xfId="14" applyNumberFormat="1" applyFont="1" applyFill="1" applyBorder="1" applyAlignment="1">
      <alignment horizontal="center"/>
    </xf>
    <xf numFmtId="3" fontId="9" fillId="0" borderId="34" xfId="14" applyNumberFormat="1" applyFont="1" applyBorder="1"/>
    <xf numFmtId="3" fontId="9" fillId="0" borderId="5" xfId="14" applyNumberFormat="1" applyFont="1" applyBorder="1"/>
    <xf numFmtId="3" fontId="23" fillId="8" borderId="19" xfId="14" applyNumberFormat="1" applyFont="1" applyFill="1" applyBorder="1" applyAlignment="1">
      <alignment horizontal="center"/>
    </xf>
    <xf numFmtId="3" fontId="23" fillId="8" borderId="20" xfId="14" applyNumberFormat="1" applyFont="1" applyFill="1" applyBorder="1" applyAlignment="1">
      <alignment horizontal="center"/>
    </xf>
    <xf numFmtId="3" fontId="8" fillId="0" borderId="5" xfId="14" applyNumberFormat="1" applyFont="1" applyBorder="1"/>
    <xf numFmtId="4" fontId="9" fillId="0" borderId="5" xfId="14" applyNumberFormat="1" applyFont="1" applyBorder="1"/>
    <xf numFmtId="4" fontId="23" fillId="8" borderId="17" xfId="14" applyNumberFormat="1" applyFont="1" applyFill="1" applyBorder="1" applyAlignment="1">
      <alignment horizontal="center"/>
    </xf>
    <xf numFmtId="4" fontId="23" fillId="8" borderId="19" xfId="14" applyNumberFormat="1" applyFont="1" applyFill="1" applyBorder="1" applyAlignment="1">
      <alignment horizontal="center"/>
    </xf>
    <xf numFmtId="3" fontId="37" fillId="0" borderId="23" xfId="14" applyNumberFormat="1" applyFont="1" applyBorder="1"/>
    <xf numFmtId="3" fontId="37" fillId="0" borderId="8" xfId="14" applyNumberFormat="1" applyFont="1" applyBorder="1"/>
    <xf numFmtId="3" fontId="15" fillId="3" borderId="8" xfId="5" applyNumberFormat="1" applyFont="1" applyFill="1" applyBorder="1"/>
    <xf numFmtId="3" fontId="15" fillId="3" borderId="8" xfId="5" applyNumberFormat="1" applyFont="1" applyFill="1" applyBorder="1" applyAlignment="1">
      <alignment horizontal="right"/>
    </xf>
    <xf numFmtId="3" fontId="15" fillId="3" borderId="25" xfId="5" applyNumberFormat="1" applyFont="1" applyFill="1" applyBorder="1"/>
    <xf numFmtId="4" fontId="15" fillId="3" borderId="26" xfId="5" applyNumberFormat="1" applyFont="1" applyFill="1" applyBorder="1"/>
    <xf numFmtId="3" fontId="15" fillId="6" borderId="17" xfId="5" applyNumberFormat="1" applyFont="1" applyFill="1" applyBorder="1"/>
    <xf numFmtId="3" fontId="15" fillId="6" borderId="18" xfId="5" applyNumberFormat="1" applyFont="1" applyFill="1" applyBorder="1"/>
    <xf numFmtId="4" fontId="15" fillId="6" borderId="19" xfId="5" applyNumberFormat="1" applyFont="1" applyFill="1" applyBorder="1"/>
    <xf numFmtId="3" fontId="15" fillId="6" borderId="22" xfId="5" applyNumberFormat="1" applyFont="1" applyFill="1" applyBorder="1"/>
    <xf numFmtId="3" fontId="15" fillId="6" borderId="56" xfId="5" applyNumberFormat="1" applyFont="1" applyFill="1" applyBorder="1"/>
    <xf numFmtId="4" fontId="15" fillId="6" borderId="17" xfId="5" applyNumberFormat="1" applyFont="1" applyFill="1" applyBorder="1"/>
    <xf numFmtId="4" fontId="15" fillId="6" borderId="18" xfId="5" applyNumberFormat="1" applyFont="1" applyFill="1" applyBorder="1"/>
    <xf numFmtId="3" fontId="13" fillId="4" borderId="17" xfId="2" applyNumberFormat="1" applyFont="1" applyFill="1" applyBorder="1"/>
    <xf numFmtId="4" fontId="13" fillId="4" borderId="17" xfId="2" applyNumberFormat="1" applyFont="1" applyFill="1" applyBorder="1"/>
    <xf numFmtId="3" fontId="9" fillId="0" borderId="4" xfId="14" applyNumberFormat="1" applyFont="1" applyBorder="1"/>
    <xf numFmtId="3" fontId="14" fillId="4" borderId="18" xfId="0" applyNumberFormat="1" applyFont="1" applyFill="1" applyBorder="1"/>
    <xf numFmtId="4" fontId="14" fillId="4" borderId="19" xfId="0" applyNumberFormat="1" applyFont="1" applyFill="1" applyBorder="1"/>
    <xf numFmtId="0" fontId="14" fillId="4" borderId="20" xfId="0" applyFont="1" applyFill="1" applyBorder="1"/>
    <xf numFmtId="3" fontId="25" fillId="3" borderId="21" xfId="9" applyNumberFormat="1" applyFont="1" applyFill="1" applyBorder="1"/>
    <xf numFmtId="3" fontId="25" fillId="5" borderId="17" xfId="9" applyNumberFormat="1" applyFont="1" applyFill="1" applyBorder="1"/>
    <xf numFmtId="3" fontId="25" fillId="5" borderId="22" xfId="9" applyNumberFormat="1" applyFont="1" applyFill="1" applyBorder="1"/>
    <xf numFmtId="3" fontId="25" fillId="5" borderId="18" xfId="9" applyNumberFormat="1" applyFont="1" applyFill="1" applyBorder="1"/>
    <xf numFmtId="4" fontId="14" fillId="7" borderId="19" xfId="9" applyNumberFormat="1" applyFont="1" applyFill="1" applyBorder="1"/>
    <xf numFmtId="4" fontId="15" fillId="3" borderId="21" xfId="9" applyNumberFormat="1" applyFont="1" applyFill="1" applyBorder="1"/>
    <xf numFmtId="4" fontId="15" fillId="3" borderId="26" xfId="9" applyNumberFormat="1" applyFont="1" applyFill="1" applyBorder="1"/>
    <xf numFmtId="3" fontId="15" fillId="3" borderId="28" xfId="9" applyNumberFormat="1" applyFont="1" applyFill="1" applyBorder="1"/>
    <xf numFmtId="3" fontId="14" fillId="4" borderId="18" xfId="0" applyNumberFormat="1" applyFont="1" applyFill="1" applyBorder="1" applyAlignment="1">
      <alignment horizontal="right"/>
    </xf>
    <xf numFmtId="4" fontId="14" fillId="4" borderId="19" xfId="0" applyNumberFormat="1" applyFont="1" applyFill="1" applyBorder="1" applyAlignment="1">
      <alignment horizontal="right"/>
    </xf>
    <xf numFmtId="3" fontId="13" fillId="4" borderId="17" xfId="0" applyNumberFormat="1" applyFont="1" applyFill="1" applyBorder="1" applyAlignment="1">
      <alignment horizontal="right"/>
    </xf>
    <xf numFmtId="3" fontId="13" fillId="4" borderId="18" xfId="0" applyNumberFormat="1" applyFont="1" applyFill="1" applyBorder="1" applyAlignment="1">
      <alignment horizontal="right"/>
    </xf>
    <xf numFmtId="4" fontId="13" fillId="4" borderId="18" xfId="0" applyNumberFormat="1" applyFont="1" applyFill="1" applyBorder="1" applyAlignment="1">
      <alignment horizontal="right"/>
    </xf>
    <xf numFmtId="3" fontId="13" fillId="4" borderId="22" xfId="0" applyNumberFormat="1" applyFont="1" applyFill="1" applyBorder="1" applyAlignment="1">
      <alignment horizontal="right"/>
    </xf>
    <xf numFmtId="4" fontId="13" fillId="4" borderId="19" xfId="0" applyNumberFormat="1" applyFont="1" applyFill="1" applyBorder="1" applyAlignment="1">
      <alignment horizontal="right"/>
    </xf>
    <xf numFmtId="3" fontId="37" fillId="0" borderId="28" xfId="5" applyNumberFormat="1" applyFont="1" applyBorder="1"/>
    <xf numFmtId="0" fontId="13" fillId="0" borderId="68" xfId="0" applyFont="1" applyBorder="1" applyAlignment="1">
      <alignment vertical="center" wrapText="1"/>
    </xf>
    <xf numFmtId="4" fontId="15" fillId="3" borderId="26" xfId="5" applyNumberFormat="1" applyFont="1" applyFill="1" applyBorder="1" applyAlignment="1">
      <alignment horizontal="right"/>
    </xf>
    <xf numFmtId="3" fontId="9" fillId="0" borderId="6" xfId="14" applyNumberFormat="1" applyFont="1" applyBorder="1"/>
    <xf numFmtId="4" fontId="23" fillId="8" borderId="52" xfId="14" applyNumberFormat="1" applyFont="1" applyFill="1" applyBorder="1" applyAlignment="1">
      <alignment horizontal="center"/>
    </xf>
    <xf numFmtId="4" fontId="9" fillId="0" borderId="23" xfId="14" applyNumberFormat="1" applyFont="1" applyBorder="1"/>
    <xf numFmtId="4" fontId="9" fillId="0" borderId="65" xfId="14" applyNumberFormat="1" applyFont="1" applyBorder="1"/>
    <xf numFmtId="4" fontId="9" fillId="0" borderId="10" xfId="14" applyNumberFormat="1" applyFont="1" applyBorder="1"/>
    <xf numFmtId="3" fontId="37" fillId="0" borderId="4" xfId="14" applyNumberFormat="1" applyFont="1" applyBorder="1"/>
    <xf numFmtId="4" fontId="37" fillId="0" borderId="7" xfId="14" applyNumberFormat="1" applyFont="1" applyBorder="1"/>
    <xf numFmtId="3" fontId="14" fillId="3" borderId="8" xfId="14" applyNumberFormat="1" applyFont="1" applyFill="1" applyBorder="1"/>
    <xf numFmtId="4" fontId="14" fillId="3" borderId="10" xfId="14" applyNumberFormat="1" applyFont="1" applyFill="1" applyBorder="1"/>
    <xf numFmtId="4" fontId="37" fillId="0" borderId="10" xfId="14" applyNumberFormat="1" applyFont="1" applyBorder="1"/>
    <xf numFmtId="3" fontId="14" fillId="3" borderId="8" xfId="14" applyNumberFormat="1" applyFont="1" applyFill="1" applyBorder="1" applyAlignment="1">
      <alignment horizontal="right"/>
    </xf>
    <xf numFmtId="4" fontId="14" fillId="3" borderId="10" xfId="14" applyNumberFormat="1" applyFont="1" applyFill="1" applyBorder="1" applyAlignment="1">
      <alignment horizontal="right"/>
    </xf>
    <xf numFmtId="3" fontId="38" fillId="3" borderId="8" xfId="14" applyNumberFormat="1" applyFont="1" applyFill="1" applyBorder="1"/>
    <xf numFmtId="4" fontId="38" fillId="3" borderId="10" xfId="14" applyNumberFormat="1" applyFont="1" applyFill="1" applyBorder="1"/>
    <xf numFmtId="4" fontId="9" fillId="0" borderId="43" xfId="14" applyNumberFormat="1" applyFont="1" applyBorder="1"/>
    <xf numFmtId="3" fontId="15" fillId="6" borderId="35" xfId="5" applyNumberFormat="1" applyFont="1" applyFill="1" applyBorder="1"/>
    <xf numFmtId="3" fontId="9" fillId="0" borderId="23" xfId="14" applyNumberFormat="1" applyFont="1" applyBorder="1"/>
    <xf numFmtId="3" fontId="8" fillId="0" borderId="24" xfId="14" applyNumberFormat="1" applyFont="1" applyBorder="1"/>
    <xf numFmtId="3" fontId="15" fillId="3" borderId="11" xfId="5" applyNumberFormat="1" applyFont="1" applyFill="1" applyBorder="1"/>
    <xf numFmtId="4" fontId="40" fillId="7" borderId="67" xfId="14" applyNumberFormat="1" applyFont="1" applyFill="1" applyBorder="1"/>
    <xf numFmtId="3" fontId="16" fillId="4" borderId="20" xfId="0" applyNumberFormat="1" applyFont="1" applyFill="1" applyBorder="1"/>
    <xf numFmtId="3" fontId="9" fillId="0" borderId="6" xfId="0" applyNumberFormat="1" applyFont="1" applyBorder="1"/>
    <xf numFmtId="3" fontId="9" fillId="0" borderId="9" xfId="0" applyNumberFormat="1" applyFont="1" applyBorder="1"/>
    <xf numFmtId="3" fontId="9" fillId="0" borderId="13" xfId="0" applyNumberFormat="1" applyFont="1" applyBorder="1"/>
    <xf numFmtId="4" fontId="16" fillId="4" borderId="17" xfId="0" applyNumberFormat="1" applyFont="1" applyFill="1" applyBorder="1"/>
    <xf numFmtId="4" fontId="16" fillId="4" borderId="19" xfId="0" applyNumberFormat="1" applyFont="1" applyFill="1" applyBorder="1"/>
    <xf numFmtId="4" fontId="9" fillId="0" borderId="4" xfId="0" applyNumberFormat="1" applyFont="1" applyBorder="1"/>
    <xf numFmtId="4" fontId="9" fillId="0" borderId="7" xfId="0" applyNumberFormat="1" applyFont="1" applyBorder="1"/>
    <xf numFmtId="4" fontId="9" fillId="0" borderId="8" xfId="0" applyNumberFormat="1" applyFont="1" applyBorder="1"/>
    <xf numFmtId="4" fontId="9" fillId="0" borderId="10" xfId="0" applyNumberFormat="1" applyFont="1" applyBorder="1"/>
    <xf numFmtId="4" fontId="9" fillId="0" borderId="11" xfId="0" applyNumberFormat="1" applyFont="1" applyBorder="1"/>
    <xf numFmtId="4" fontId="9" fillId="0" borderId="14" xfId="0" applyNumberFormat="1" applyFont="1" applyBorder="1"/>
    <xf numFmtId="3" fontId="22" fillId="0" borderId="6" xfId="0" applyNumberFormat="1" applyFont="1" applyBorder="1"/>
    <xf numFmtId="3" fontId="22" fillId="0" borderId="9" xfId="0" applyNumberFormat="1" applyFont="1" applyBorder="1"/>
    <xf numFmtId="3" fontId="22" fillId="0" borderId="13" xfId="0" applyNumberFormat="1" applyFont="1" applyBorder="1"/>
    <xf numFmtId="4" fontId="22" fillId="0" borderId="4" xfId="0" applyNumberFormat="1" applyFont="1" applyBorder="1"/>
    <xf numFmtId="4" fontId="22" fillId="0" borderId="7" xfId="0" applyNumberFormat="1" applyFont="1" applyBorder="1"/>
    <xf numFmtId="4" fontId="22" fillId="0" borderId="8" xfId="0" applyNumberFormat="1" applyFont="1" applyBorder="1"/>
    <xf numFmtId="4" fontId="22" fillId="0" borderId="10" xfId="0" applyNumberFormat="1" applyFont="1" applyBorder="1"/>
    <xf numFmtId="4" fontId="22" fillId="0" borderId="11" xfId="0" applyNumberFormat="1" applyFont="1" applyBorder="1"/>
    <xf numFmtId="4" fontId="22" fillId="0" borderId="14" xfId="0" applyNumberFormat="1" applyFont="1" applyBorder="1"/>
    <xf numFmtId="0" fontId="14" fillId="7" borderId="20" xfId="9" applyFont="1" applyFill="1" applyBorder="1"/>
    <xf numFmtId="3" fontId="15" fillId="3" borderId="25" xfId="9" applyNumberFormat="1" applyFont="1" applyFill="1" applyBorder="1"/>
    <xf numFmtId="3" fontId="15" fillId="3" borderId="25" xfId="9" applyNumberFormat="1" applyFont="1" applyFill="1" applyBorder="1" applyAlignment="1">
      <alignment horizontal="right"/>
    </xf>
    <xf numFmtId="3" fontId="13" fillId="3" borderId="25" xfId="9" applyNumberFormat="1" applyFont="1" applyFill="1" applyBorder="1" applyAlignment="1">
      <alignment horizontal="right"/>
    </xf>
    <xf numFmtId="3" fontId="14" fillId="3" borderId="25" xfId="9" applyNumberFormat="1" applyFont="1" applyFill="1" applyBorder="1"/>
    <xf numFmtId="3" fontId="13" fillId="3" borderId="25" xfId="9" applyNumberFormat="1" applyFont="1" applyFill="1" applyBorder="1"/>
    <xf numFmtId="3" fontId="14" fillId="3" borderId="25" xfId="9" applyNumberFormat="1" applyFont="1" applyFill="1" applyBorder="1" applyAlignment="1">
      <alignment horizontal="right"/>
    </xf>
    <xf numFmtId="3" fontId="14" fillId="3" borderId="11" xfId="9" applyNumberFormat="1" applyFont="1" applyFill="1" applyBorder="1"/>
    <xf numFmtId="3" fontId="13" fillId="3" borderId="8" xfId="9" applyNumberFormat="1" applyFont="1" applyFill="1" applyBorder="1" applyAlignment="1">
      <alignment horizontal="right"/>
    </xf>
    <xf numFmtId="3" fontId="14" fillId="3" borderId="8" xfId="9" applyNumberFormat="1" applyFont="1" applyFill="1" applyBorder="1"/>
    <xf numFmtId="3" fontId="13" fillId="3" borderId="8" xfId="9" applyNumberFormat="1" applyFont="1" applyFill="1" applyBorder="1"/>
    <xf numFmtId="3" fontId="14" fillId="3" borderId="8" xfId="9" applyNumberFormat="1" applyFont="1" applyFill="1" applyBorder="1" applyAlignment="1">
      <alignment horizontal="right"/>
    </xf>
    <xf numFmtId="4" fontId="14" fillId="7" borderId="67" xfId="9" applyNumberFormat="1" applyFont="1" applyFill="1" applyBorder="1"/>
    <xf numFmtId="0" fontId="15" fillId="3" borderId="34" xfId="9" applyFont="1" applyFill="1" applyBorder="1"/>
    <xf numFmtId="3" fontId="37" fillId="0" borderId="6" xfId="14" applyNumberFormat="1" applyFont="1" applyBorder="1"/>
    <xf numFmtId="3" fontId="37" fillId="0" borderId="9" xfId="14" applyNumberFormat="1" applyFont="1" applyBorder="1"/>
    <xf numFmtId="3" fontId="15" fillId="3" borderId="29" xfId="9" applyNumberFormat="1" applyFont="1" applyFill="1" applyBorder="1"/>
    <xf numFmtId="3" fontId="15" fillId="3" borderId="29" xfId="9" applyNumberFormat="1" applyFont="1" applyFill="1" applyBorder="1" applyAlignment="1">
      <alignment horizontal="right"/>
    </xf>
    <xf numFmtId="3" fontId="15" fillId="3" borderId="12" xfId="9" applyNumberFormat="1" applyFont="1" applyFill="1" applyBorder="1"/>
    <xf numFmtId="4" fontId="37" fillId="0" borderId="9" xfId="14" applyNumberFormat="1" applyFont="1" applyBorder="1"/>
    <xf numFmtId="3" fontId="15" fillId="3" borderId="9" xfId="9" applyNumberFormat="1" applyFont="1" applyFill="1" applyBorder="1"/>
    <xf numFmtId="3" fontId="15" fillId="3" borderId="9" xfId="9" applyNumberFormat="1" applyFont="1" applyFill="1" applyBorder="1" applyAlignment="1">
      <alignment horizontal="right"/>
    </xf>
    <xf numFmtId="3" fontId="25" fillId="3" borderId="9" xfId="9" applyNumberFormat="1" applyFont="1" applyFill="1" applyBorder="1"/>
    <xf numFmtId="3" fontId="15" fillId="3" borderId="8" xfId="9" applyNumberFormat="1" applyFont="1" applyFill="1" applyBorder="1"/>
    <xf numFmtId="3" fontId="15" fillId="3" borderId="8" xfId="9" applyNumberFormat="1" applyFont="1" applyFill="1" applyBorder="1" applyAlignment="1">
      <alignment horizontal="right"/>
    </xf>
    <xf numFmtId="3" fontId="25" fillId="3" borderId="8" xfId="9" applyNumberFormat="1" applyFont="1" applyFill="1" applyBorder="1"/>
    <xf numFmtId="3" fontId="25" fillId="3" borderId="11" xfId="9" applyNumberFormat="1" applyFont="1" applyFill="1" applyBorder="1"/>
    <xf numFmtId="3" fontId="37" fillId="0" borderId="8" xfId="5" applyNumberFormat="1" applyFont="1" applyBorder="1"/>
    <xf numFmtId="3" fontId="37" fillId="0" borderId="25" xfId="5" applyNumberFormat="1" applyFont="1" applyBorder="1"/>
    <xf numFmtId="2" fontId="16" fillId="4" borderId="19" xfId="0" applyNumberFormat="1" applyFont="1" applyFill="1" applyBorder="1"/>
    <xf numFmtId="4" fontId="15" fillId="4" borderId="19" xfId="0" applyNumberFormat="1" applyFont="1" applyFill="1" applyBorder="1"/>
    <xf numFmtId="4" fontId="15" fillId="6" borderId="64" xfId="5" applyNumberFormat="1" applyFont="1" applyFill="1" applyBorder="1"/>
    <xf numFmtId="4" fontId="9" fillId="0" borderId="7" xfId="14" applyNumberFormat="1" applyFont="1" applyBorder="1"/>
    <xf numFmtId="3" fontId="9" fillId="0" borderId="8" xfId="14" applyNumberFormat="1" applyFont="1" applyBorder="1"/>
    <xf numFmtId="3" fontId="15" fillId="3" borderId="25" xfId="5" applyNumberFormat="1" applyFont="1" applyFill="1" applyBorder="1" applyAlignment="1">
      <alignment horizontal="right"/>
    </xf>
    <xf numFmtId="4" fontId="15" fillId="3" borderId="14" xfId="5" applyNumberFormat="1" applyFont="1" applyFill="1" applyBorder="1"/>
    <xf numFmtId="3" fontId="14" fillId="3" borderId="11" xfId="14" applyNumberFormat="1" applyFont="1" applyFill="1" applyBorder="1"/>
    <xf numFmtId="3" fontId="40" fillId="7" borderId="35" xfId="14" applyNumberFormat="1" applyFont="1" applyFill="1" applyBorder="1"/>
    <xf numFmtId="4" fontId="14" fillId="3" borderId="27" xfId="14" applyNumberFormat="1" applyFont="1" applyFill="1" applyBorder="1"/>
    <xf numFmtId="4" fontId="9" fillId="0" borderId="27" xfId="14" applyNumberFormat="1" applyFont="1" applyBorder="1"/>
    <xf numFmtId="4" fontId="37" fillId="0" borderId="27" xfId="14" applyNumberFormat="1" applyFont="1" applyBorder="1"/>
    <xf numFmtId="4" fontId="14" fillId="3" borderId="27" xfId="14" applyNumberFormat="1" applyFont="1" applyFill="1" applyBorder="1" applyAlignment="1">
      <alignment horizontal="right"/>
    </xf>
    <xf numFmtId="4" fontId="38" fillId="3" borderId="27" xfId="14" applyNumberFormat="1" applyFont="1" applyFill="1" applyBorder="1"/>
    <xf numFmtId="4" fontId="40" fillId="7" borderId="62" xfId="14" applyNumberFormat="1" applyFont="1" applyFill="1" applyBorder="1"/>
    <xf numFmtId="3" fontId="10" fillId="10" borderId="0" xfId="0" applyNumberFormat="1" applyFont="1" applyFill="1" applyAlignment="1">
      <alignment horizontal="right"/>
    </xf>
    <xf numFmtId="4" fontId="37" fillId="0" borderId="65" xfId="14" applyNumberFormat="1" applyFont="1" applyBorder="1"/>
    <xf numFmtId="4" fontId="37" fillId="0" borderId="0" xfId="14" applyNumberFormat="1" applyFont="1" applyAlignment="1">
      <alignment horizontal="right"/>
    </xf>
    <xf numFmtId="3" fontId="15" fillId="0" borderId="36" xfId="0" applyNumberFormat="1" applyFont="1" applyBorder="1" applyAlignment="1">
      <alignment horizontal="left"/>
    </xf>
    <xf numFmtId="3" fontId="15" fillId="0" borderId="6" xfId="0" applyNumberFormat="1" applyFont="1" applyBorder="1" applyAlignment="1">
      <alignment horizontal="left"/>
    </xf>
    <xf numFmtId="3" fontId="15" fillId="3" borderId="9" xfId="5" applyNumberFormat="1" applyFont="1" applyFill="1" applyBorder="1"/>
    <xf numFmtId="3" fontId="15" fillId="3" borderId="9" xfId="5" applyNumberFormat="1" applyFont="1" applyFill="1" applyBorder="1" applyAlignment="1">
      <alignment horizontal="right"/>
    </xf>
    <xf numFmtId="3" fontId="15" fillId="3" borderId="13" xfId="5" applyNumberFormat="1" applyFont="1" applyFill="1" applyBorder="1"/>
    <xf numFmtId="4" fontId="9" fillId="0" borderId="8" xfId="5" applyNumberFormat="1" applyFont="1" applyBorder="1"/>
    <xf numFmtId="4" fontId="15" fillId="3" borderId="8" xfId="5" applyNumberFormat="1" applyFont="1" applyFill="1" applyBorder="1"/>
    <xf numFmtId="4" fontId="15" fillId="3" borderId="8" xfId="5" applyNumberFormat="1" applyFont="1" applyFill="1" applyBorder="1" applyAlignment="1">
      <alignment horizontal="right"/>
    </xf>
    <xf numFmtId="3" fontId="9" fillId="0" borderId="43" xfId="14" applyNumberFormat="1" applyFont="1" applyBorder="1"/>
    <xf numFmtId="3" fontId="15" fillId="3" borderId="27" xfId="5" applyNumberFormat="1" applyFont="1" applyFill="1" applyBorder="1"/>
    <xf numFmtId="3" fontId="15" fillId="3" borderId="27" xfId="5" applyNumberFormat="1" applyFont="1" applyFill="1" applyBorder="1" applyAlignment="1">
      <alignment horizontal="right"/>
    </xf>
    <xf numFmtId="3" fontId="15" fillId="3" borderId="38" xfId="5" applyNumberFormat="1" applyFont="1" applyFill="1" applyBorder="1"/>
    <xf numFmtId="4" fontId="15" fillId="6" borderId="67" xfId="5" applyNumberFormat="1" applyFont="1" applyFill="1" applyBorder="1"/>
    <xf numFmtId="3" fontId="0" fillId="0" borderId="1" xfId="0" applyNumberFormat="1" applyBorder="1"/>
    <xf numFmtId="4" fontId="9" fillId="0" borderId="65" xfId="0" applyNumberFormat="1" applyFont="1" applyBorder="1"/>
    <xf numFmtId="4" fontId="28" fillId="0" borderId="10" xfId="5" applyNumberFormat="1" applyFont="1" applyBorder="1"/>
    <xf numFmtId="4" fontId="15" fillId="3" borderId="11" xfId="5" applyNumberFormat="1" applyFont="1" applyFill="1" applyBorder="1"/>
    <xf numFmtId="4" fontId="15" fillId="3" borderId="12" xfId="5" applyNumberFormat="1" applyFont="1" applyFill="1" applyBorder="1"/>
    <xf numFmtId="4" fontId="14" fillId="3" borderId="62" xfId="14" applyNumberFormat="1" applyFont="1" applyFill="1" applyBorder="1"/>
    <xf numFmtId="4" fontId="28" fillId="0" borderId="1" xfId="5" applyNumberFormat="1" applyFont="1" applyBorder="1"/>
    <xf numFmtId="0" fontId="48" fillId="0" borderId="0" xfId="0" applyFont="1"/>
    <xf numFmtId="0" fontId="49" fillId="0" borderId="0" xfId="0" applyFont="1"/>
    <xf numFmtId="2" fontId="5" fillId="0" borderId="0" xfId="9" applyNumberFormat="1"/>
    <xf numFmtId="3" fontId="1" fillId="0" borderId="0" xfId="9" applyNumberFormat="1" applyFont="1"/>
    <xf numFmtId="2" fontId="1" fillId="0" borderId="0" xfId="9" applyNumberFormat="1" applyFont="1"/>
    <xf numFmtId="3" fontId="37" fillId="9" borderId="1" xfId="14" applyNumberFormat="1" applyFont="1" applyFill="1" applyBorder="1"/>
    <xf numFmtId="3" fontId="8" fillId="9" borderId="5" xfId="5" applyNumberFormat="1" applyFont="1" applyFill="1" applyBorder="1"/>
    <xf numFmtId="0" fontId="28" fillId="9" borderId="8" xfId="9" applyFont="1" applyFill="1" applyBorder="1" applyAlignment="1">
      <alignment horizontal="center"/>
    </xf>
    <xf numFmtId="0" fontId="28" fillId="9" borderId="1" xfId="9" applyFont="1" applyFill="1" applyBorder="1" applyAlignment="1">
      <alignment horizontal="center"/>
    </xf>
    <xf numFmtId="0" fontId="28" fillId="9" borderId="27" xfId="9" applyFont="1" applyFill="1" applyBorder="1"/>
    <xf numFmtId="0" fontId="28" fillId="9" borderId="9" xfId="9" applyFont="1" applyFill="1" applyBorder="1"/>
    <xf numFmtId="2" fontId="25" fillId="5" borderId="64" xfId="9" applyNumberFormat="1" applyFont="1" applyFill="1" applyBorder="1"/>
    <xf numFmtId="2" fontId="38" fillId="0" borderId="0" xfId="5" applyNumberFormat="1" applyFont="1"/>
    <xf numFmtId="2" fontId="9" fillId="0" borderId="5" xfId="0" applyNumberFormat="1" applyFont="1" applyBorder="1"/>
    <xf numFmtId="2" fontId="9" fillId="0" borderId="1" xfId="0" applyNumberFormat="1" applyFont="1" applyBorder="1"/>
    <xf numFmtId="2" fontId="9" fillId="0" borderId="12" xfId="0" applyNumberFormat="1" applyFont="1" applyBorder="1"/>
    <xf numFmtId="0" fontId="9" fillId="9" borderId="1" xfId="9" applyFont="1" applyFill="1" applyBorder="1" applyAlignment="1">
      <alignment horizontal="center"/>
    </xf>
    <xf numFmtId="1" fontId="9" fillId="9" borderId="1" xfId="9" applyNumberFormat="1" applyFont="1" applyFill="1" applyBorder="1" applyAlignment="1">
      <alignment horizontal="center"/>
    </xf>
    <xf numFmtId="0" fontId="28" fillId="9" borderId="1" xfId="9" applyFont="1" applyFill="1" applyBorder="1"/>
    <xf numFmtId="2" fontId="25" fillId="5" borderId="19" xfId="9" applyNumberFormat="1" applyFont="1" applyFill="1" applyBorder="1"/>
    <xf numFmtId="2" fontId="37" fillId="0" borderId="0" xfId="5" applyNumberFormat="1" applyFont="1"/>
    <xf numFmtId="2" fontId="37" fillId="0" borderId="7" xfId="14" applyNumberFormat="1" applyFont="1" applyBorder="1"/>
    <xf numFmtId="2" fontId="37" fillId="0" borderId="10" xfId="14" applyNumberFormat="1" applyFont="1" applyBorder="1"/>
    <xf numFmtId="2" fontId="15" fillId="3" borderId="26" xfId="9" applyNumberFormat="1" applyFont="1" applyFill="1" applyBorder="1"/>
    <xf numFmtId="0" fontId="9" fillId="9" borderId="9" xfId="9" applyFont="1" applyFill="1" applyBorder="1"/>
    <xf numFmtId="2" fontId="15" fillId="3" borderId="25" xfId="9" applyNumberFormat="1" applyFont="1" applyFill="1" applyBorder="1"/>
    <xf numFmtId="2" fontId="15" fillId="3" borderId="26" xfId="9" applyNumberFormat="1" applyFont="1" applyFill="1" applyBorder="1" applyAlignment="1">
      <alignment horizontal="right"/>
    </xf>
    <xf numFmtId="0" fontId="9" fillId="9" borderId="8" xfId="9" applyFont="1" applyFill="1" applyBorder="1" applyAlignment="1">
      <alignment horizontal="center"/>
    </xf>
    <xf numFmtId="2" fontId="14" fillId="7" borderId="19" xfId="9" applyNumberFormat="1" applyFont="1" applyFill="1" applyBorder="1"/>
    <xf numFmtId="2" fontId="14" fillId="7" borderId="18" xfId="9" applyNumberFormat="1" applyFont="1" applyFill="1" applyBorder="1"/>
    <xf numFmtId="3" fontId="1" fillId="0" borderId="0" xfId="9" applyNumberFormat="1" applyFont="1" applyAlignment="1">
      <alignment horizontal="right"/>
    </xf>
    <xf numFmtId="2" fontId="1" fillId="0" borderId="0" xfId="9" applyNumberFormat="1" applyFont="1" applyAlignment="1">
      <alignment horizontal="right"/>
    </xf>
    <xf numFmtId="2" fontId="9" fillId="0" borderId="24" xfId="14" applyNumberFormat="1" applyFont="1" applyBorder="1"/>
    <xf numFmtId="2" fontId="9" fillId="0" borderId="1" xfId="5" applyNumberFormat="1" applyFont="1" applyBorder="1"/>
    <xf numFmtId="2" fontId="9" fillId="0" borderId="5" xfId="14" applyNumberFormat="1" applyFont="1" applyBorder="1"/>
    <xf numFmtId="2" fontId="13" fillId="3" borderId="26" xfId="9" applyNumberFormat="1" applyFont="1" applyFill="1" applyBorder="1" applyAlignment="1">
      <alignment horizontal="right"/>
    </xf>
    <xf numFmtId="2" fontId="13" fillId="3" borderId="1" xfId="9" applyNumberFormat="1" applyFont="1" applyFill="1" applyBorder="1" applyAlignment="1">
      <alignment horizontal="right"/>
    </xf>
    <xf numFmtId="2" fontId="14" fillId="3" borderId="26" xfId="9" applyNumberFormat="1" applyFont="1" applyFill="1" applyBorder="1"/>
    <xf numFmtId="2" fontId="14" fillId="3" borderId="1" xfId="9" applyNumberFormat="1" applyFont="1" applyFill="1" applyBorder="1"/>
    <xf numFmtId="2" fontId="13" fillId="3" borderId="26" xfId="9" applyNumberFormat="1" applyFont="1" applyFill="1" applyBorder="1"/>
    <xf numFmtId="2" fontId="13" fillId="3" borderId="1" xfId="9" applyNumberFormat="1" applyFont="1" applyFill="1" applyBorder="1"/>
    <xf numFmtId="0" fontId="32" fillId="9" borderId="1" xfId="4" applyFont="1" applyFill="1" applyBorder="1" applyAlignment="1">
      <alignment horizontal="center"/>
    </xf>
    <xf numFmtId="0" fontId="32" fillId="9" borderId="1" xfId="4" applyFont="1" applyFill="1" applyBorder="1"/>
    <xf numFmtId="0" fontId="28" fillId="9" borderId="9" xfId="9" applyFont="1" applyFill="1" applyBorder="1" applyAlignment="1">
      <alignment horizontal="left"/>
    </xf>
    <xf numFmtId="2" fontId="14" fillId="3" borderId="26" xfId="9" applyNumberFormat="1" applyFont="1" applyFill="1" applyBorder="1" applyAlignment="1">
      <alignment horizontal="right"/>
    </xf>
    <xf numFmtId="2" fontId="14" fillId="3" borderId="1" xfId="9" applyNumberFormat="1" applyFont="1" applyFill="1" applyBorder="1" applyAlignment="1">
      <alignment horizontal="right"/>
    </xf>
    <xf numFmtId="2" fontId="14" fillId="3" borderId="12" xfId="9" applyNumberFormat="1" applyFont="1" applyFill="1" applyBorder="1"/>
    <xf numFmtId="2" fontId="14" fillId="7" borderId="44" xfId="9" applyNumberFormat="1" applyFont="1" applyFill="1" applyBorder="1"/>
    <xf numFmtId="2" fontId="14" fillId="4" borderId="44" xfId="9" applyNumberFormat="1" applyFont="1" applyFill="1" applyBorder="1"/>
    <xf numFmtId="3" fontId="13" fillId="4" borderId="20" xfId="2" applyNumberFormat="1" applyFont="1" applyFill="1" applyBorder="1"/>
    <xf numFmtId="0" fontId="1" fillId="0" borderId="0" xfId="5" applyFont="1" applyAlignment="1">
      <alignment horizontal="center"/>
    </xf>
    <xf numFmtId="3" fontId="8" fillId="0" borderId="24" xfId="5" applyNumberFormat="1" applyFont="1" applyBorder="1"/>
    <xf numFmtId="3" fontId="13" fillId="3" borderId="8" xfId="2" applyNumberFormat="1" applyFont="1" applyFill="1" applyBorder="1"/>
    <xf numFmtId="4" fontId="37" fillId="0" borderId="7" xfId="5" applyNumberFormat="1" applyFont="1" applyBorder="1"/>
    <xf numFmtId="4" fontId="37" fillId="0" borderId="10" xfId="5" applyNumberFormat="1" applyFont="1" applyBorder="1"/>
    <xf numFmtId="3" fontId="13" fillId="3" borderId="25" xfId="2" applyNumberFormat="1" applyFont="1" applyFill="1" applyBorder="1"/>
    <xf numFmtId="4" fontId="13" fillId="3" borderId="26" xfId="2" applyNumberFormat="1" applyFont="1" applyFill="1" applyBorder="1"/>
    <xf numFmtId="4" fontId="23" fillId="8" borderId="18" xfId="14" applyNumberFormat="1" applyFont="1" applyFill="1" applyBorder="1" applyAlignment="1">
      <alignment horizontal="center"/>
    </xf>
    <xf numFmtId="3" fontId="13" fillId="3" borderId="9" xfId="2" applyNumberFormat="1" applyFont="1" applyFill="1" applyBorder="1"/>
    <xf numFmtId="3" fontId="9" fillId="0" borderId="9" xfId="14" applyNumberFormat="1" applyFont="1" applyBorder="1"/>
    <xf numFmtId="4" fontId="13" fillId="3" borderId="8" xfId="2" applyNumberFormat="1" applyFont="1" applyFill="1" applyBorder="1"/>
    <xf numFmtId="4" fontId="13" fillId="3" borderId="25" xfId="2" applyNumberFormat="1" applyFont="1" applyFill="1" applyBorder="1"/>
    <xf numFmtId="0" fontId="8" fillId="0" borderId="6" xfId="0" applyFont="1" applyBorder="1"/>
    <xf numFmtId="3" fontId="14" fillId="3" borderId="8" xfId="0" applyNumberFormat="1" applyFont="1" applyFill="1" applyBorder="1" applyAlignment="1">
      <alignment horizontal="right"/>
    </xf>
    <xf numFmtId="3" fontId="14" fillId="3" borderId="8" xfId="0" applyNumberFormat="1" applyFont="1" applyFill="1" applyBorder="1"/>
    <xf numFmtId="3" fontId="14" fillId="3" borderId="25" xfId="0" applyNumberFormat="1" applyFont="1" applyFill="1" applyBorder="1" applyAlignment="1">
      <alignment horizontal="right"/>
    </xf>
    <xf numFmtId="4" fontId="14" fillId="3" borderId="26" xfId="0" applyNumberFormat="1" applyFont="1" applyFill="1" applyBorder="1" applyAlignment="1">
      <alignment horizontal="right"/>
    </xf>
    <xf numFmtId="3" fontId="14" fillId="3" borderId="11" xfId="0" applyNumberFormat="1" applyFont="1" applyFill="1" applyBorder="1" applyAlignment="1">
      <alignment horizontal="right"/>
    </xf>
    <xf numFmtId="3" fontId="14" fillId="3" borderId="9" xfId="0" applyNumberFormat="1" applyFont="1" applyFill="1" applyBorder="1" applyAlignment="1">
      <alignment horizontal="right"/>
    </xf>
    <xf numFmtId="3" fontId="14" fillId="3" borderId="9" xfId="0" applyNumberFormat="1" applyFont="1" applyFill="1" applyBorder="1"/>
    <xf numFmtId="3" fontId="14" fillId="3" borderId="13" xfId="0" applyNumberFormat="1" applyFont="1" applyFill="1" applyBorder="1" applyAlignment="1">
      <alignment horizontal="right"/>
    </xf>
    <xf numFmtId="3" fontId="14" fillId="4" borderId="42" xfId="0" applyNumberFormat="1" applyFont="1" applyFill="1" applyBorder="1" applyAlignment="1">
      <alignment horizontal="right"/>
    </xf>
    <xf numFmtId="4" fontId="14" fillId="3" borderId="8" xfId="0" applyNumberFormat="1" applyFont="1" applyFill="1" applyBorder="1" applyAlignment="1">
      <alignment horizontal="right"/>
    </xf>
    <xf numFmtId="4" fontId="14" fillId="3" borderId="8" xfId="0" applyNumberFormat="1" applyFont="1" applyFill="1" applyBorder="1"/>
    <xf numFmtId="4" fontId="14" fillId="3" borderId="11" xfId="0" applyNumberFormat="1" applyFont="1" applyFill="1" applyBorder="1" applyAlignment="1">
      <alignment horizontal="right"/>
    </xf>
    <xf numFmtId="4" fontId="14" fillId="4" borderId="35" xfId="0" applyNumberFormat="1" applyFont="1" applyFill="1" applyBorder="1" applyAlignment="1">
      <alignment horizontal="right"/>
    </xf>
    <xf numFmtId="4" fontId="14" fillId="4" borderId="41" xfId="0" applyNumberFormat="1" applyFont="1" applyFill="1" applyBorder="1" applyAlignment="1">
      <alignment horizontal="right"/>
    </xf>
    <xf numFmtId="3" fontId="14" fillId="3" borderId="25" xfId="0" applyNumberFormat="1" applyFont="1" applyFill="1" applyBorder="1"/>
    <xf numFmtId="4" fontId="14" fillId="3" borderId="26" xfId="0" applyNumberFormat="1" applyFont="1" applyFill="1" applyBorder="1"/>
    <xf numFmtId="3" fontId="14" fillId="4" borderId="22" xfId="0" applyNumberFormat="1" applyFont="1" applyFill="1" applyBorder="1"/>
    <xf numFmtId="3" fontId="14" fillId="3" borderId="29" xfId="0" applyNumberFormat="1" applyFont="1" applyFill="1" applyBorder="1"/>
    <xf numFmtId="3" fontId="14" fillId="4" borderId="20" xfId="0" applyNumberFormat="1" applyFont="1" applyFill="1" applyBorder="1"/>
    <xf numFmtId="4" fontId="14" fillId="3" borderId="11" xfId="0" applyNumberFormat="1" applyFont="1" applyFill="1" applyBorder="1"/>
    <xf numFmtId="4" fontId="14" fillId="4" borderId="35" xfId="0" applyNumberFormat="1" applyFont="1" applyFill="1" applyBorder="1"/>
    <xf numFmtId="4" fontId="14" fillId="4" borderId="41" xfId="0" applyNumberFormat="1" applyFont="1" applyFill="1" applyBorder="1"/>
    <xf numFmtId="2" fontId="37" fillId="0" borderId="65" xfId="14" applyNumberFormat="1" applyFont="1" applyBorder="1"/>
    <xf numFmtId="2" fontId="15" fillId="3" borderId="10" xfId="9" applyNumberFormat="1" applyFont="1" applyFill="1" applyBorder="1"/>
    <xf numFmtId="2" fontId="25" fillId="3" borderId="10" xfId="9" applyNumberFormat="1" applyFont="1" applyFill="1" applyBorder="1"/>
    <xf numFmtId="3" fontId="37" fillId="9" borderId="8" xfId="14" applyNumberFormat="1" applyFont="1" applyFill="1" applyBorder="1"/>
    <xf numFmtId="2" fontId="37" fillId="9" borderId="10" xfId="14" applyNumberFormat="1" applyFont="1" applyFill="1" applyBorder="1"/>
    <xf numFmtId="3" fontId="25" fillId="3" borderId="25" xfId="9" applyNumberFormat="1" applyFont="1" applyFill="1" applyBorder="1"/>
    <xf numFmtId="2" fontId="25" fillId="3" borderId="26" xfId="9" applyNumberFormat="1" applyFont="1" applyFill="1" applyBorder="1"/>
    <xf numFmtId="2" fontId="9" fillId="0" borderId="7" xfId="0" applyNumberFormat="1" applyFont="1" applyBorder="1"/>
    <xf numFmtId="2" fontId="9" fillId="0" borderId="10" xfId="0" applyNumberFormat="1" applyFont="1" applyBorder="1"/>
    <xf numFmtId="2" fontId="9" fillId="0" borderId="14" xfId="0" applyNumberFormat="1" applyFont="1" applyBorder="1"/>
    <xf numFmtId="3" fontId="9" fillId="0" borderId="30" xfId="14" applyNumberFormat="1" applyFont="1" applyBorder="1"/>
    <xf numFmtId="3" fontId="25" fillId="3" borderId="13" xfId="9" applyNumberFormat="1" applyFont="1" applyFill="1" applyBorder="1"/>
    <xf numFmtId="3" fontId="25" fillId="5" borderId="42" xfId="9" applyNumberFormat="1" applyFont="1" applyFill="1" applyBorder="1"/>
    <xf numFmtId="4" fontId="9" fillId="9" borderId="23" xfId="14" applyNumberFormat="1" applyFont="1" applyFill="1" applyBorder="1"/>
    <xf numFmtId="4" fontId="15" fillId="3" borderId="8" xfId="9" applyNumberFormat="1" applyFont="1" applyFill="1" applyBorder="1"/>
    <xf numFmtId="4" fontId="25" fillId="3" borderId="8" xfId="9" applyNumberFormat="1" applyFont="1" applyFill="1" applyBorder="1"/>
    <xf numFmtId="4" fontId="25" fillId="3" borderId="11" xfId="9" applyNumberFormat="1" applyFont="1" applyFill="1" applyBorder="1"/>
    <xf numFmtId="4" fontId="25" fillId="5" borderId="35" xfId="9" applyNumberFormat="1" applyFont="1" applyFill="1" applyBorder="1"/>
    <xf numFmtId="4" fontId="25" fillId="5" borderId="41" xfId="9" applyNumberFormat="1" applyFont="1" applyFill="1" applyBorder="1"/>
    <xf numFmtId="2" fontId="15" fillId="3" borderId="10" xfId="9" applyNumberFormat="1" applyFont="1" applyFill="1" applyBorder="1" applyAlignment="1">
      <alignment horizontal="right"/>
    </xf>
    <xf numFmtId="4" fontId="9" fillId="9" borderId="8" xfId="5" applyNumberFormat="1" applyFont="1" applyFill="1" applyBorder="1"/>
    <xf numFmtId="4" fontId="15" fillId="3" borderId="8" xfId="9" applyNumberFormat="1" applyFont="1" applyFill="1" applyBorder="1" applyAlignment="1">
      <alignment horizontal="right"/>
    </xf>
    <xf numFmtId="3" fontId="14" fillId="7" borderId="20" xfId="9" applyNumberFormat="1" applyFont="1" applyFill="1" applyBorder="1"/>
    <xf numFmtId="4" fontId="9" fillId="0" borderId="4" xfId="14" applyNumberFormat="1" applyFont="1" applyBorder="1"/>
    <xf numFmtId="2" fontId="15" fillId="3" borderId="8" xfId="9" applyNumberFormat="1" applyFont="1" applyFill="1" applyBorder="1"/>
    <xf numFmtId="2" fontId="15" fillId="3" borderId="8" xfId="9" applyNumberFormat="1" applyFont="1" applyFill="1" applyBorder="1" applyAlignment="1">
      <alignment horizontal="right"/>
    </xf>
    <xf numFmtId="4" fontId="14" fillId="7" borderId="17" xfId="9" applyNumberFormat="1" applyFont="1" applyFill="1" applyBorder="1"/>
    <xf numFmtId="3" fontId="15" fillId="3" borderId="4" xfId="9" applyNumberFormat="1" applyFont="1" applyFill="1" applyBorder="1"/>
    <xf numFmtId="2" fontId="14" fillId="3" borderId="14" xfId="9" applyNumberFormat="1" applyFont="1" applyFill="1" applyBorder="1"/>
    <xf numFmtId="3" fontId="13" fillId="3" borderId="9" xfId="9" applyNumberFormat="1" applyFont="1" applyFill="1" applyBorder="1" applyAlignment="1">
      <alignment horizontal="right"/>
    </xf>
    <xf numFmtId="3" fontId="14" fillId="3" borderId="9" xfId="9" applyNumberFormat="1" applyFont="1" applyFill="1" applyBorder="1"/>
    <xf numFmtId="3" fontId="13" fillId="3" borderId="9" xfId="9" applyNumberFormat="1" applyFont="1" applyFill="1" applyBorder="1"/>
    <xf numFmtId="3" fontId="14" fillId="3" borderId="9" xfId="9" applyNumberFormat="1" applyFont="1" applyFill="1" applyBorder="1" applyAlignment="1">
      <alignment horizontal="right"/>
    </xf>
    <xf numFmtId="3" fontId="14" fillId="3" borderId="13" xfId="9" applyNumberFormat="1" applyFont="1" applyFill="1" applyBorder="1"/>
    <xf numFmtId="3" fontId="14" fillId="7" borderId="56" xfId="9" applyNumberFormat="1" applyFont="1" applyFill="1" applyBorder="1"/>
    <xf numFmtId="2" fontId="9" fillId="0" borderId="23" xfId="14" applyNumberFormat="1" applyFont="1" applyBorder="1"/>
    <xf numFmtId="2" fontId="9" fillId="0" borderId="8" xfId="5" applyNumberFormat="1" applyFont="1" applyBorder="1"/>
    <xf numFmtId="2" fontId="13" fillId="3" borderId="8" xfId="9" applyNumberFormat="1" applyFont="1" applyFill="1" applyBorder="1" applyAlignment="1">
      <alignment horizontal="right"/>
    </xf>
    <xf numFmtId="2" fontId="14" fillId="3" borderId="8" xfId="9" applyNumberFormat="1" applyFont="1" applyFill="1" applyBorder="1"/>
    <xf numFmtId="2" fontId="13" fillId="3" borderId="8" xfId="9" applyNumberFormat="1" applyFont="1" applyFill="1" applyBorder="1"/>
    <xf numFmtId="2" fontId="9" fillId="9" borderId="8" xfId="5" applyNumberFormat="1" applyFont="1" applyFill="1" applyBorder="1"/>
    <xf numFmtId="2" fontId="14" fillId="3" borderId="8" xfId="9" applyNumberFormat="1" applyFont="1" applyFill="1" applyBorder="1" applyAlignment="1">
      <alignment horizontal="right"/>
    </xf>
    <xf numFmtId="2" fontId="14" fillId="3" borderId="11" xfId="9" applyNumberFormat="1" applyFont="1" applyFill="1" applyBorder="1"/>
    <xf numFmtId="2" fontId="14" fillId="7" borderId="35" xfId="9" applyNumberFormat="1" applyFont="1" applyFill="1" applyBorder="1"/>
    <xf numFmtId="0" fontId="16" fillId="0" borderId="57" xfId="0" applyFont="1" applyBorder="1"/>
    <xf numFmtId="0" fontId="16" fillId="0" borderId="3" xfId="0" applyFont="1" applyBorder="1"/>
    <xf numFmtId="0" fontId="16" fillId="0" borderId="69" xfId="0" applyFont="1" applyBorder="1"/>
    <xf numFmtId="0" fontId="16" fillId="0" borderId="37" xfId="0" applyFont="1" applyBorder="1"/>
    <xf numFmtId="3" fontId="37" fillId="0" borderId="23" xfId="5" applyNumberFormat="1" applyFont="1" applyBorder="1"/>
    <xf numFmtId="3" fontId="37" fillId="0" borderId="24" xfId="5" applyNumberFormat="1" applyFont="1" applyBorder="1"/>
    <xf numFmtId="3" fontId="37" fillId="0" borderId="21" xfId="5" applyNumberFormat="1" applyFont="1" applyBorder="1"/>
    <xf numFmtId="3" fontId="37" fillId="0" borderId="43" xfId="5" applyNumberFormat="1" applyFont="1" applyBorder="1"/>
    <xf numFmtId="3" fontId="9" fillId="0" borderId="35" xfId="0" applyNumberFormat="1" applyFont="1" applyBorder="1"/>
    <xf numFmtId="4" fontId="37" fillId="0" borderId="24" xfId="5" applyNumberFormat="1" applyFont="1" applyBorder="1"/>
    <xf numFmtId="4" fontId="37" fillId="0" borderId="21" xfId="5" applyNumberFormat="1" applyFont="1" applyBorder="1"/>
    <xf numFmtId="4" fontId="37" fillId="0" borderId="65" xfId="5" applyNumberFormat="1" applyFont="1" applyBorder="1"/>
    <xf numFmtId="4" fontId="37" fillId="0" borderId="26" xfId="5" applyNumberFormat="1" applyFont="1" applyBorder="1"/>
    <xf numFmtId="4" fontId="37" fillId="0" borderId="0" xfId="8" applyNumberFormat="1" applyFont="1" applyAlignment="1">
      <alignment horizontal="center"/>
    </xf>
    <xf numFmtId="4" fontId="37" fillId="0" borderId="0" xfId="5" applyNumberFormat="1" applyFont="1" applyAlignment="1">
      <alignment horizontal="center"/>
    </xf>
    <xf numFmtId="4" fontId="9" fillId="0" borderId="0" xfId="0" applyNumberFormat="1" applyFont="1"/>
    <xf numFmtId="3" fontId="37" fillId="0" borderId="30" xfId="5" applyNumberFormat="1" applyFont="1" applyBorder="1"/>
    <xf numFmtId="3" fontId="37" fillId="0" borderId="9" xfId="5" applyNumberFormat="1" applyFont="1" applyBorder="1"/>
    <xf numFmtId="3" fontId="37" fillId="0" borderId="29" xfId="5" applyNumberFormat="1" applyFont="1" applyBorder="1"/>
    <xf numFmtId="3" fontId="13" fillId="4" borderId="20" xfId="0" applyNumberFormat="1" applyFont="1" applyFill="1" applyBorder="1" applyAlignment="1">
      <alignment horizontal="right"/>
    </xf>
    <xf numFmtId="4" fontId="37" fillId="0" borderId="23" xfId="5" applyNumberFormat="1" applyFont="1" applyBorder="1"/>
    <xf numFmtId="4" fontId="37" fillId="0" borderId="8" xfId="5" applyNumberFormat="1" applyFont="1" applyBorder="1"/>
    <xf numFmtId="4" fontId="37" fillId="0" borderId="25" xfId="5" applyNumberFormat="1" applyFont="1" applyBorder="1"/>
    <xf numFmtId="4" fontId="13" fillId="4" borderId="17" xfId="0" applyNumberFormat="1" applyFont="1" applyFill="1" applyBorder="1" applyAlignment="1">
      <alignment horizontal="right"/>
    </xf>
    <xf numFmtId="3" fontId="37" fillId="0" borderId="0" xfId="14" applyNumberFormat="1" applyFont="1" applyAlignment="1">
      <alignment horizontal="center"/>
    </xf>
    <xf numFmtId="4" fontId="37" fillId="0" borderId="30" xfId="14" applyNumberFormat="1" applyFont="1" applyBorder="1"/>
    <xf numFmtId="4" fontId="14" fillId="3" borderId="45" xfId="14" applyNumberFormat="1" applyFont="1" applyFill="1" applyBorder="1"/>
    <xf numFmtId="4" fontId="14" fillId="3" borderId="45" xfId="14" applyNumberFormat="1" applyFont="1" applyFill="1" applyBorder="1" applyAlignment="1">
      <alignment horizontal="right"/>
    </xf>
    <xf numFmtId="4" fontId="38" fillId="3" borderId="45" xfId="14" applyNumberFormat="1" applyFont="1" applyFill="1" applyBorder="1"/>
    <xf numFmtId="4" fontId="14" fillId="3" borderId="70" xfId="14" applyNumberFormat="1" applyFont="1" applyFill="1" applyBorder="1"/>
    <xf numFmtId="4" fontId="40" fillId="7" borderId="56" xfId="14" applyNumberFormat="1" applyFont="1" applyFill="1" applyBorder="1"/>
    <xf numFmtId="3" fontId="9" fillId="0" borderId="65" xfId="14" applyNumberFormat="1" applyFont="1" applyBorder="1"/>
    <xf numFmtId="3" fontId="14" fillId="3" borderId="10" xfId="14" applyNumberFormat="1" applyFont="1" applyFill="1" applyBorder="1"/>
    <xf numFmtId="3" fontId="9" fillId="0" borderId="10" xfId="14" applyNumberFormat="1" applyFont="1" applyBorder="1"/>
    <xf numFmtId="3" fontId="14" fillId="3" borderId="10" xfId="14" applyNumberFormat="1" applyFont="1" applyFill="1" applyBorder="1" applyAlignment="1">
      <alignment horizontal="right"/>
    </xf>
    <xf numFmtId="3" fontId="38" fillId="3" borderId="10" xfId="14" applyNumberFormat="1" applyFont="1" applyFill="1" applyBorder="1"/>
    <xf numFmtId="3" fontId="14" fillId="3" borderId="25" xfId="14" applyNumberFormat="1" applyFont="1" applyFill="1" applyBorder="1"/>
    <xf numFmtId="3" fontId="14" fillId="3" borderId="26" xfId="14" applyNumberFormat="1" applyFont="1" applyFill="1" applyBorder="1"/>
    <xf numFmtId="3" fontId="40" fillId="7" borderId="17" xfId="14" applyNumberFormat="1" applyFont="1" applyFill="1" applyBorder="1"/>
    <xf numFmtId="3" fontId="40" fillId="7" borderId="18" xfId="14" applyNumberFormat="1" applyFont="1" applyFill="1" applyBorder="1"/>
    <xf numFmtId="3" fontId="40" fillId="7" borderId="19" xfId="14" applyNumberFormat="1" applyFont="1" applyFill="1" applyBorder="1"/>
    <xf numFmtId="3" fontId="10" fillId="0" borderId="0" xfId="0" applyNumberFormat="1" applyFont="1" applyAlignment="1">
      <alignment horizontal="right"/>
    </xf>
    <xf numFmtId="3" fontId="15" fillId="4" borderId="5" xfId="2" applyNumberFormat="1" applyFont="1" applyFill="1" applyBorder="1" applyAlignment="1">
      <alignment horizontal="center" vertical="center" wrapText="1"/>
    </xf>
    <xf numFmtId="3" fontId="15" fillId="4" borderId="12" xfId="2" applyNumberFormat="1" applyFont="1" applyFill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3" fontId="25" fillId="0" borderId="28" xfId="0" applyNumberFormat="1" applyFont="1" applyBorder="1" applyAlignment="1">
      <alignment horizontal="center" vertical="center" wrapText="1"/>
    </xf>
    <xf numFmtId="3" fontId="25" fillId="0" borderId="62" xfId="0" applyNumberFormat="1" applyFont="1" applyBorder="1" applyAlignment="1">
      <alignment horizontal="center" vertical="center" wrapText="1"/>
    </xf>
    <xf numFmtId="3" fontId="45" fillId="4" borderId="53" xfId="0" applyNumberFormat="1" applyFont="1" applyFill="1" applyBorder="1" applyAlignment="1">
      <alignment horizontal="center" wrapText="1"/>
    </xf>
    <xf numFmtId="3" fontId="45" fillId="4" borderId="50" xfId="0" applyNumberFormat="1" applyFont="1" applyFill="1" applyBorder="1" applyAlignment="1">
      <alignment horizontal="center"/>
    </xf>
    <xf numFmtId="3" fontId="45" fillId="4" borderId="52" xfId="0" applyNumberFormat="1" applyFont="1" applyFill="1" applyBorder="1" applyAlignment="1">
      <alignment horizontal="center"/>
    </xf>
    <xf numFmtId="3" fontId="45" fillId="4" borderId="55" xfId="0" applyNumberFormat="1" applyFont="1" applyFill="1" applyBorder="1" applyAlignment="1">
      <alignment horizontal="center"/>
    </xf>
    <xf numFmtId="3" fontId="45" fillId="4" borderId="42" xfId="0" applyNumberFormat="1" applyFont="1" applyFill="1" applyBorder="1" applyAlignment="1">
      <alignment horizontal="center"/>
    </xf>
    <xf numFmtId="3" fontId="45" fillId="4" borderId="41" xfId="0" applyNumberFormat="1" applyFont="1" applyFill="1" applyBorder="1" applyAlignment="1">
      <alignment horizontal="center"/>
    </xf>
    <xf numFmtId="4" fontId="15" fillId="4" borderId="7" xfId="0" applyNumberFormat="1" applyFont="1" applyFill="1" applyBorder="1" applyAlignment="1">
      <alignment horizontal="center" vertical="center" wrapText="1"/>
    </xf>
    <xf numFmtId="4" fontId="15" fillId="4" borderId="10" xfId="0" applyNumberFormat="1" applyFont="1" applyFill="1" applyBorder="1" applyAlignment="1">
      <alignment horizontal="center" vertical="center" wrapText="1"/>
    </xf>
    <xf numFmtId="4" fontId="15" fillId="4" borderId="14" xfId="0" applyNumberFormat="1" applyFont="1" applyFill="1" applyBorder="1" applyAlignment="1">
      <alignment horizontal="center" vertical="center" wrapText="1"/>
    </xf>
    <xf numFmtId="3" fontId="14" fillId="5" borderId="5" xfId="2" applyNumberFormat="1" applyFont="1" applyFill="1" applyBorder="1" applyAlignment="1">
      <alignment horizontal="center" vertical="center" wrapText="1"/>
    </xf>
    <xf numFmtId="3" fontId="14" fillId="5" borderId="12" xfId="2" applyNumberFormat="1" applyFont="1" applyFill="1" applyBorder="1" applyAlignment="1">
      <alignment horizontal="center" vertical="center" wrapText="1"/>
    </xf>
    <xf numFmtId="3" fontId="14" fillId="4" borderId="5" xfId="2" applyNumberFormat="1" applyFont="1" applyFill="1" applyBorder="1" applyAlignment="1">
      <alignment horizontal="center" vertical="center" wrapText="1"/>
    </xf>
    <xf numFmtId="3" fontId="14" fillId="4" borderId="12" xfId="2" applyNumberFormat="1" applyFont="1" applyFill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left"/>
    </xf>
    <xf numFmtId="3" fontId="13" fillId="4" borderId="5" xfId="2" applyNumberFormat="1" applyFont="1" applyFill="1" applyBorder="1" applyAlignment="1">
      <alignment horizontal="center" vertical="center" wrapText="1"/>
    </xf>
    <xf numFmtId="3" fontId="13" fillId="4" borderId="12" xfId="2" applyNumberFormat="1" applyFont="1" applyFill="1" applyBorder="1" applyAlignment="1">
      <alignment horizontal="center" vertical="center" wrapText="1"/>
    </xf>
    <xf numFmtId="3" fontId="13" fillId="4" borderId="4" xfId="2" applyNumberFormat="1" applyFont="1" applyFill="1" applyBorder="1" applyAlignment="1">
      <alignment horizontal="center" vertical="center" wrapText="1"/>
    </xf>
    <xf numFmtId="3" fontId="13" fillId="4" borderId="8" xfId="2" applyNumberFormat="1" applyFont="1" applyFill="1" applyBorder="1" applyAlignment="1">
      <alignment horizontal="center" vertical="center" wrapText="1"/>
    </xf>
    <xf numFmtId="3" fontId="13" fillId="4" borderId="11" xfId="2" applyNumberFormat="1" applyFont="1" applyFill="1" applyBorder="1" applyAlignment="1">
      <alignment horizontal="center" vertical="center" wrapText="1"/>
    </xf>
    <xf numFmtId="4" fontId="15" fillId="5" borderId="21" xfId="0" applyNumberFormat="1" applyFont="1" applyFill="1" applyBorder="1" applyAlignment="1">
      <alignment horizontal="center" vertical="center" wrapText="1"/>
    </xf>
    <xf numFmtId="4" fontId="15" fillId="5" borderId="49" xfId="0" applyNumberFormat="1" applyFont="1" applyFill="1" applyBorder="1" applyAlignment="1">
      <alignment horizontal="center" vertical="center" wrapText="1"/>
    </xf>
    <xf numFmtId="4" fontId="15" fillId="5" borderId="44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2" xfId="0" applyNumberFormat="1" applyFont="1" applyFill="1" applyBorder="1" applyAlignment="1">
      <alignment horizontal="center" vertical="center" wrapText="1"/>
    </xf>
    <xf numFmtId="3" fontId="25" fillId="0" borderId="21" xfId="0" applyNumberFormat="1" applyFont="1" applyBorder="1" applyAlignment="1">
      <alignment horizontal="center" vertical="center" wrapText="1"/>
    </xf>
    <xf numFmtId="3" fontId="25" fillId="0" borderId="44" xfId="0" applyNumberFormat="1" applyFont="1" applyBorder="1" applyAlignment="1">
      <alignment horizontal="center" vertical="center" wrapText="1"/>
    </xf>
    <xf numFmtId="3" fontId="15" fillId="5" borderId="49" xfId="0" applyNumberFormat="1" applyFont="1" applyFill="1" applyBorder="1" applyAlignment="1">
      <alignment horizontal="center" vertical="center" wrapText="1"/>
    </xf>
    <xf numFmtId="3" fontId="15" fillId="5" borderId="44" xfId="0" applyNumberFormat="1" applyFont="1" applyFill="1" applyBorder="1" applyAlignment="1">
      <alignment horizontal="center" vertical="center" wrapText="1"/>
    </xf>
    <xf numFmtId="4" fontId="25" fillId="4" borderId="21" xfId="0" applyNumberFormat="1" applyFont="1" applyFill="1" applyBorder="1" applyAlignment="1">
      <alignment horizontal="center" vertical="center" wrapText="1"/>
    </xf>
    <xf numFmtId="4" fontId="25" fillId="4" borderId="49" xfId="0" applyNumberFormat="1" applyFont="1" applyFill="1" applyBorder="1" applyAlignment="1">
      <alignment horizontal="center" vertical="center" wrapText="1"/>
    </xf>
    <xf numFmtId="4" fontId="25" fillId="4" borderId="44" xfId="0" applyNumberFormat="1" applyFont="1" applyFill="1" applyBorder="1" applyAlignment="1">
      <alignment horizontal="center" vertical="center" wrapText="1"/>
    </xf>
    <xf numFmtId="3" fontId="24" fillId="5" borderId="37" xfId="0" applyNumberFormat="1" applyFont="1" applyFill="1" applyBorder="1" applyAlignment="1">
      <alignment horizontal="center" vertical="center"/>
    </xf>
    <xf numFmtId="3" fontId="24" fillId="5" borderId="39" xfId="0" applyNumberFormat="1" applyFont="1" applyFill="1" applyBorder="1" applyAlignment="1">
      <alignment horizontal="center" vertical="center"/>
    </xf>
    <xf numFmtId="3" fontId="24" fillId="5" borderId="64" xfId="0" applyNumberFormat="1" applyFont="1" applyFill="1" applyBorder="1" applyAlignment="1">
      <alignment horizontal="center" vertical="center"/>
    </xf>
    <xf numFmtId="3" fontId="15" fillId="0" borderId="30" xfId="0" applyNumberFormat="1" applyFont="1" applyBorder="1" applyAlignment="1">
      <alignment horizontal="left"/>
    </xf>
    <xf numFmtId="3" fontId="15" fillId="0" borderId="58" xfId="0" applyNumberFormat="1" applyFont="1" applyBorder="1" applyAlignment="1">
      <alignment horizontal="left"/>
    </xf>
    <xf numFmtId="3" fontId="15" fillId="4" borderId="31" xfId="2" applyNumberFormat="1" applyFont="1" applyFill="1" applyBorder="1" applyAlignment="1">
      <alignment horizontal="center" vertical="center" wrapText="1"/>
    </xf>
    <xf numFmtId="3" fontId="15" fillId="4" borderId="47" xfId="2" applyNumberFormat="1" applyFont="1" applyFill="1" applyBorder="1" applyAlignment="1">
      <alignment horizontal="center" vertical="center" wrapText="1"/>
    </xf>
    <xf numFmtId="3" fontId="15" fillId="4" borderId="35" xfId="2" applyNumberFormat="1" applyFont="1" applyFill="1" applyBorder="1" applyAlignment="1">
      <alignment horizontal="center" vertical="center" wrapText="1"/>
    </xf>
    <xf numFmtId="3" fontId="15" fillId="0" borderId="48" xfId="0" applyNumberFormat="1" applyFont="1" applyBorder="1" applyAlignment="1">
      <alignment horizontal="center" vertical="center" wrapText="1"/>
    </xf>
    <xf numFmtId="3" fontId="15" fillId="0" borderId="56" xfId="0" applyNumberFormat="1" applyFont="1" applyBorder="1" applyAlignment="1">
      <alignment horizontal="center" vertical="center" wrapText="1"/>
    </xf>
    <xf numFmtId="4" fontId="25" fillId="0" borderId="10" xfId="0" applyNumberFormat="1" applyFont="1" applyBorder="1" applyAlignment="1">
      <alignment horizontal="center" vertical="center" wrapText="1"/>
    </xf>
    <xf numFmtId="4" fontId="25" fillId="0" borderId="14" xfId="0" applyNumberFormat="1" applyFont="1" applyBorder="1" applyAlignment="1">
      <alignment horizontal="center" vertical="center" wrapText="1"/>
    </xf>
    <xf numFmtId="3" fontId="15" fillId="5" borderId="5" xfId="2" applyNumberFormat="1" applyFont="1" applyFill="1" applyBorder="1" applyAlignment="1">
      <alignment horizontal="center" vertical="center" wrapText="1"/>
    </xf>
    <xf numFmtId="3" fontId="15" fillId="5" borderId="12" xfId="2" applyNumberFormat="1" applyFont="1" applyFill="1" applyBorder="1" applyAlignment="1">
      <alignment horizontal="center" vertical="center" wrapText="1"/>
    </xf>
    <xf numFmtId="3" fontId="15" fillId="5" borderId="66" xfId="0" applyNumberFormat="1" applyFont="1" applyFill="1" applyBorder="1" applyAlignment="1">
      <alignment horizontal="center" vertical="center" wrapText="1"/>
    </xf>
    <xf numFmtId="3" fontId="15" fillId="5" borderId="62" xfId="0" applyNumberFormat="1" applyFont="1" applyFill="1" applyBorder="1" applyAlignment="1">
      <alignment horizontal="center" vertical="center" wrapText="1"/>
    </xf>
    <xf numFmtId="3" fontId="14" fillId="0" borderId="21" xfId="2" applyNumberFormat="1" applyFont="1" applyBorder="1" applyAlignment="1">
      <alignment horizontal="center" vertical="center" wrapText="1"/>
    </xf>
    <xf numFmtId="3" fontId="14" fillId="0" borderId="44" xfId="2" applyNumberFormat="1" applyFont="1" applyBorder="1" applyAlignment="1">
      <alignment horizontal="center" vertical="center" wrapText="1"/>
    </xf>
    <xf numFmtId="3" fontId="18" fillId="5" borderId="48" xfId="0" applyNumberFormat="1" applyFont="1" applyFill="1" applyBorder="1" applyAlignment="1">
      <alignment horizontal="center" vertical="center" wrapText="1"/>
    </xf>
    <xf numFmtId="3" fontId="18" fillId="5" borderId="56" xfId="0" applyNumberFormat="1" applyFont="1" applyFill="1" applyBorder="1" applyAlignment="1">
      <alignment horizontal="center" vertical="center" wrapText="1"/>
    </xf>
    <xf numFmtId="4" fontId="18" fillId="5" borderId="57" xfId="0" applyNumberFormat="1" applyFont="1" applyFill="1" applyBorder="1" applyAlignment="1">
      <alignment horizontal="center" vertical="center"/>
    </xf>
    <xf numFmtId="4" fontId="18" fillId="5" borderId="58" xfId="0" applyNumberFormat="1" applyFont="1" applyFill="1" applyBorder="1" applyAlignment="1">
      <alignment horizontal="center" vertical="center"/>
    </xf>
    <xf numFmtId="4" fontId="18" fillId="5" borderId="59" xfId="0" applyNumberFormat="1" applyFont="1" applyFill="1" applyBorder="1" applyAlignment="1">
      <alignment horizontal="center" vertical="center"/>
    </xf>
    <xf numFmtId="3" fontId="24" fillId="5" borderId="0" xfId="0" applyNumberFormat="1" applyFont="1" applyFill="1" applyAlignment="1">
      <alignment horizontal="center" vertical="center" wrapText="1"/>
    </xf>
    <xf numFmtId="3" fontId="24" fillId="5" borderId="66" xfId="0" applyNumberFormat="1" applyFont="1" applyFill="1" applyBorder="1" applyAlignment="1">
      <alignment horizontal="center" vertical="center" wrapText="1"/>
    </xf>
    <xf numFmtId="3" fontId="24" fillId="5" borderId="36" xfId="0" applyNumberFormat="1" applyFont="1" applyFill="1" applyBorder="1" applyAlignment="1">
      <alignment horizontal="center" vertical="center" wrapText="1"/>
    </xf>
    <xf numFmtId="3" fontId="24" fillId="5" borderId="34" xfId="0" applyNumberFormat="1" applyFont="1" applyFill="1" applyBorder="1" applyAlignment="1">
      <alignment horizontal="center" vertical="center" wrapText="1"/>
    </xf>
    <xf numFmtId="3" fontId="24" fillId="5" borderId="33" xfId="0" applyNumberFormat="1" applyFont="1" applyFill="1" applyBorder="1" applyAlignment="1">
      <alignment horizontal="center" vertical="center" wrapText="1"/>
    </xf>
    <xf numFmtId="3" fontId="24" fillId="5" borderId="50" xfId="0" applyNumberFormat="1" applyFont="1" applyFill="1" applyBorder="1" applyAlignment="1">
      <alignment horizontal="center" vertical="center" wrapText="1"/>
    </xf>
    <xf numFmtId="3" fontId="24" fillId="5" borderId="51" xfId="0" applyNumberFormat="1" applyFont="1" applyFill="1" applyBorder="1" applyAlignment="1">
      <alignment horizontal="center" vertical="center" wrapText="1"/>
    </xf>
    <xf numFmtId="3" fontId="24" fillId="5" borderId="6" xfId="0" applyNumberFormat="1" applyFont="1" applyFill="1" applyBorder="1" applyAlignment="1">
      <alignment horizontal="center" vertical="center" wrapText="1"/>
    </xf>
    <xf numFmtId="4" fontId="15" fillId="5" borderId="25" xfId="0" applyNumberFormat="1" applyFont="1" applyFill="1" applyBorder="1" applyAlignment="1">
      <alignment horizontal="center" vertical="center" wrapText="1"/>
    </xf>
    <xf numFmtId="4" fontId="15" fillId="5" borderId="47" xfId="0" applyNumberFormat="1" applyFont="1" applyFill="1" applyBorder="1" applyAlignment="1">
      <alignment horizontal="center" vertical="center" wrapText="1"/>
    </xf>
    <xf numFmtId="4" fontId="15" fillId="5" borderId="3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5" applyFont="1" applyAlignment="1">
      <alignment horizontal="left"/>
    </xf>
    <xf numFmtId="4" fontId="19" fillId="0" borderId="0" xfId="0" applyNumberFormat="1" applyFont="1" applyAlignment="1">
      <alignment horizontal="left" wrapText="1"/>
    </xf>
  </cellXfs>
  <cellStyles count="24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6" xr:uid="{00000000-0005-0000-0000-000003000000}"/>
    <cellStyle name="Normální 2 3" xfId="7" xr:uid="{00000000-0005-0000-0000-000004000000}"/>
    <cellStyle name="Normální 3" xfId="3" xr:uid="{00000000-0005-0000-0000-000005000000}"/>
    <cellStyle name="Normální 3 2" xfId="9" xr:uid="{00000000-0005-0000-0000-000006000000}"/>
    <cellStyle name="Normální 3 2 2" xfId="13" xr:uid="{6066B6DD-C924-4CAE-BEC1-CF19621A073D}"/>
    <cellStyle name="Normální 3 2 2 2" xfId="23" xr:uid="{7CD84476-C3F0-4D32-8E6E-FFE4D1C6A06D}"/>
    <cellStyle name="Normální 3 2 3" xfId="19" xr:uid="{F1577CEA-20D1-43A9-9B3F-43E40B28E361}"/>
    <cellStyle name="Normální 3 3" xfId="10" xr:uid="{3DFF5D6A-4994-4D60-9119-BDEA64BE0DD2}"/>
    <cellStyle name="Normální 3 3 2" xfId="20" xr:uid="{827DF580-2445-4D53-914C-3C5D57AE63BD}"/>
    <cellStyle name="Normální 3 4" xfId="16" xr:uid="{265AFCE9-831E-42E8-BE33-DBB2303648EE}"/>
    <cellStyle name="Normální 4" xfId="5" xr:uid="{00000000-0005-0000-0000-000007000000}"/>
    <cellStyle name="Normální 4 2" xfId="8" xr:uid="{00000000-0005-0000-0000-000008000000}"/>
    <cellStyle name="Normální 4 2 2" xfId="12" xr:uid="{9078EBA9-0647-4894-A55D-B16827985307}"/>
    <cellStyle name="Normální 4 2 2 2" xfId="22" xr:uid="{24357E00-A65A-49D1-B984-FC32487FFE54}"/>
    <cellStyle name="Normální 4 2 3" xfId="15" xr:uid="{E50CECFD-0397-4F15-AC7D-886573BF6036}"/>
    <cellStyle name="Normální 4 2 4" xfId="18" xr:uid="{61BF3717-FCFC-403C-B4E3-2D1E852F4F69}"/>
    <cellStyle name="Normální 4 3" xfId="11" xr:uid="{5B0BD19E-74AB-430D-9680-0699EF7CCD9F}"/>
    <cellStyle name="Normální 4 3 2" xfId="21" xr:uid="{4D31E1F9-1435-4250-83A5-34291D2D9856}"/>
    <cellStyle name="Normální 4 4" xfId="14" xr:uid="{A2D9155A-7E77-4F55-9813-4B1B032CC662}"/>
    <cellStyle name="Normální 4 5" xfId="17" xr:uid="{ABA7367E-1230-49F4-BB40-4AB6B9F2A1C5}"/>
    <cellStyle name="normální_OIII.TURN.e" xfId="4" xr:uid="{00000000-0005-0000-0000-000009000000}"/>
  </cellStyles>
  <dxfs count="0"/>
  <tableStyles count="0" defaultTableStyle="TableStyleMedium2" defaultPivotStyle="PivotStyleLight16"/>
  <colors>
    <mruColors>
      <color rgb="FFFF66FF"/>
      <color rgb="FFFABF8F"/>
      <color rgb="FF99FF99"/>
      <color rgb="FFCCECFF"/>
      <color rgb="FF99CCFF"/>
      <color rgb="FFCCFF66"/>
      <color rgb="FFCC3300"/>
      <color rgb="FFCC6600"/>
      <color rgb="FFA6A6A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C3300"/>
  </sheetPr>
  <dimension ref="A1:Y37"/>
  <sheetViews>
    <sheetView tabSelected="1" zoomScaleNormal="100" workbookViewId="0">
      <selection activeCell="O2" sqref="O2"/>
    </sheetView>
  </sheetViews>
  <sheetFormatPr defaultColWidth="9.140625" defaultRowHeight="15" customHeight="1" x14ac:dyDescent="0.2"/>
  <cols>
    <col min="1" max="1" width="6.7109375" style="152" customWidth="1"/>
    <col min="2" max="15" width="9.140625" style="152"/>
    <col min="16" max="16" width="13.7109375" style="152" customWidth="1"/>
    <col min="17" max="16384" width="9.140625" style="152"/>
  </cols>
  <sheetData>
    <row r="1" spans="1:25" ht="15" customHeight="1" x14ac:dyDescent="0.2">
      <c r="A1" s="730" t="s">
        <v>842</v>
      </c>
    </row>
    <row r="3" spans="1:25" ht="15" customHeight="1" x14ac:dyDescent="0.2">
      <c r="A3" s="152" t="s">
        <v>784</v>
      </c>
    </row>
    <row r="5" spans="1:25" ht="15" customHeight="1" x14ac:dyDescent="0.2">
      <c r="A5" s="152" t="s">
        <v>833</v>
      </c>
    </row>
    <row r="6" spans="1:25" ht="15" customHeight="1" x14ac:dyDescent="0.2">
      <c r="A6" s="152" t="s">
        <v>817</v>
      </c>
    </row>
    <row r="8" spans="1:25" ht="15" customHeight="1" x14ac:dyDescent="0.2">
      <c r="A8" s="152" t="s">
        <v>806</v>
      </c>
    </row>
    <row r="9" spans="1:25" ht="15" customHeight="1" x14ac:dyDescent="0.2">
      <c r="A9" s="152" t="s">
        <v>807</v>
      </c>
      <c r="B9" s="152" t="s">
        <v>818</v>
      </c>
    </row>
    <row r="10" spans="1:25" ht="15" customHeight="1" x14ac:dyDescent="0.2">
      <c r="B10" s="152" t="s">
        <v>819</v>
      </c>
    </row>
    <row r="12" spans="1:25" ht="15" customHeight="1" x14ac:dyDescent="0.2">
      <c r="A12" s="152" t="s">
        <v>808</v>
      </c>
      <c r="B12" s="152" t="s">
        <v>820</v>
      </c>
    </row>
    <row r="13" spans="1:25" ht="15" customHeight="1" x14ac:dyDescent="0.2">
      <c r="A13" s="3" t="s">
        <v>810</v>
      </c>
      <c r="B13" s="731" t="s">
        <v>843</v>
      </c>
    </row>
    <row r="14" spans="1:25" ht="15" customHeight="1" x14ac:dyDescent="0.2">
      <c r="B14" s="731" t="s">
        <v>811</v>
      </c>
      <c r="Q14" s="3"/>
      <c r="R14" s="3"/>
      <c r="S14" s="3"/>
      <c r="T14" s="3"/>
      <c r="U14" s="3"/>
      <c r="V14" s="3"/>
      <c r="W14" s="3"/>
      <c r="X14" s="3"/>
      <c r="Y14" s="3"/>
    </row>
    <row r="15" spans="1:25" ht="15" customHeight="1" x14ac:dyDescent="0.2">
      <c r="B15" s="731" t="s">
        <v>837</v>
      </c>
      <c r="Q15" s="3"/>
      <c r="R15" s="3"/>
      <c r="S15" s="3"/>
      <c r="T15" s="3"/>
      <c r="U15" s="3"/>
      <c r="V15" s="3"/>
      <c r="W15" s="3"/>
      <c r="X15" s="3"/>
      <c r="Y15" s="3"/>
    </row>
    <row r="16" spans="1:25" ht="15" customHeight="1" x14ac:dyDescent="0.2">
      <c r="B16" s="731" t="s">
        <v>838</v>
      </c>
      <c r="Q16" s="3"/>
      <c r="R16" s="3"/>
      <c r="S16" s="3"/>
      <c r="T16" s="3"/>
      <c r="U16" s="3"/>
      <c r="V16" s="3"/>
      <c r="W16" s="3"/>
      <c r="X16" s="3"/>
      <c r="Y16" s="3"/>
    </row>
    <row r="17" spans="1:25" ht="15" customHeight="1" x14ac:dyDescent="0.2">
      <c r="B17" s="731"/>
      <c r="Q17" s="3"/>
      <c r="R17" s="3"/>
      <c r="S17" s="3"/>
      <c r="T17" s="3"/>
      <c r="U17" s="3"/>
      <c r="V17" s="3"/>
      <c r="W17" s="3"/>
      <c r="X17" s="3"/>
      <c r="Y17" s="3"/>
    </row>
    <row r="18" spans="1:25" ht="15" customHeight="1" x14ac:dyDescent="0.2">
      <c r="A18" s="152" t="s">
        <v>809</v>
      </c>
      <c r="B18" s="152" t="s">
        <v>834</v>
      </c>
      <c r="Q18" s="3"/>
      <c r="R18" s="3"/>
      <c r="S18" s="3"/>
      <c r="T18" s="3"/>
      <c r="U18" s="3"/>
      <c r="V18" s="3"/>
      <c r="W18" s="3"/>
      <c r="X18" s="3"/>
      <c r="Y18" s="3"/>
    </row>
    <row r="19" spans="1:25" ht="15" customHeight="1" x14ac:dyDescent="0.2">
      <c r="A19" s="3" t="s">
        <v>810</v>
      </c>
      <c r="B19" s="731" t="s">
        <v>835</v>
      </c>
      <c r="C19" s="3"/>
      <c r="D19" s="3"/>
      <c r="E19" s="3"/>
      <c r="F19" s="3"/>
      <c r="G19" s="3"/>
      <c r="H19" s="3"/>
      <c r="I19" s="3"/>
      <c r="J19" s="3"/>
      <c r="K19" s="3"/>
    </row>
    <row r="20" spans="1:25" ht="15" customHeight="1" x14ac:dyDescent="0.2">
      <c r="B20" s="731" t="s">
        <v>811</v>
      </c>
      <c r="Q20" s="3"/>
      <c r="R20" s="3"/>
      <c r="S20" s="3"/>
      <c r="T20" s="3"/>
      <c r="U20" s="3"/>
      <c r="V20" s="3"/>
      <c r="W20" s="3"/>
      <c r="X20" s="3"/>
      <c r="Y20" s="3"/>
    </row>
    <row r="21" spans="1:25" ht="15" customHeight="1" x14ac:dyDescent="0.2">
      <c r="B21" s="731"/>
      <c r="Q21" s="3"/>
      <c r="R21" s="3"/>
      <c r="S21" s="3"/>
      <c r="T21" s="3"/>
      <c r="U21" s="3"/>
      <c r="V21" s="3"/>
      <c r="W21" s="3"/>
      <c r="X21" s="3"/>
      <c r="Y21" s="3"/>
    </row>
    <row r="22" spans="1:25" ht="15" customHeight="1" x14ac:dyDescent="0.2">
      <c r="A22" s="152" t="s">
        <v>812</v>
      </c>
      <c r="B22" s="152" t="s">
        <v>836</v>
      </c>
    </row>
    <row r="24" spans="1:25" ht="15" customHeight="1" x14ac:dyDescent="0.2">
      <c r="A24" s="152" t="s">
        <v>813</v>
      </c>
      <c r="B24" s="152" t="s">
        <v>815</v>
      </c>
    </row>
    <row r="25" spans="1:25" ht="15" customHeight="1" x14ac:dyDescent="0.2">
      <c r="B25" s="152" t="s">
        <v>821</v>
      </c>
    </row>
    <row r="27" spans="1:25" ht="15" customHeight="1" x14ac:dyDescent="0.2">
      <c r="A27" s="152" t="s">
        <v>814</v>
      </c>
      <c r="B27" s="152" t="s">
        <v>824</v>
      </c>
    </row>
    <row r="29" spans="1:25" ht="15" customHeight="1" x14ac:dyDescent="0.2">
      <c r="A29" s="152" t="s">
        <v>816</v>
      </c>
      <c r="B29" s="152" t="s">
        <v>823</v>
      </c>
    </row>
    <row r="31" spans="1:25" ht="15" customHeight="1" x14ac:dyDescent="0.2">
      <c r="A31" s="3" t="s">
        <v>829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5" ht="15" customHeight="1" x14ac:dyDescent="0.2">
      <c r="A32" s="3" t="s">
        <v>830</v>
      </c>
      <c r="B32" s="731"/>
      <c r="C32" s="731"/>
      <c r="D32" s="731"/>
      <c r="E32" s="731"/>
      <c r="F32" s="731"/>
      <c r="G32" s="731"/>
      <c r="H32" s="731"/>
      <c r="I32" s="731"/>
      <c r="J32" s="3"/>
      <c r="K32" s="3"/>
      <c r="L32" s="3"/>
      <c r="M32" s="3"/>
      <c r="N32" s="3"/>
    </row>
    <row r="33" spans="1:15" ht="15" customHeight="1" x14ac:dyDescent="0.2">
      <c r="A33" s="3" t="s">
        <v>831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5" ht="15" customHeight="1" x14ac:dyDescent="0.2">
      <c r="J34" s="731"/>
      <c r="K34" s="731"/>
      <c r="L34" s="731"/>
      <c r="M34" s="731"/>
      <c r="N34" s="731"/>
      <c r="O34" s="731"/>
    </row>
    <row r="35" spans="1:15" ht="15" customHeight="1" x14ac:dyDescent="0.2">
      <c r="B35" s="731"/>
      <c r="C35" s="731"/>
      <c r="D35" s="731"/>
      <c r="E35" s="731"/>
      <c r="F35" s="731"/>
      <c r="G35" s="731"/>
      <c r="H35" s="731"/>
      <c r="I35" s="731"/>
      <c r="J35" s="731"/>
      <c r="K35" s="731"/>
      <c r="L35" s="731"/>
      <c r="M35" s="731"/>
      <c r="N35" s="731"/>
      <c r="O35" s="731"/>
    </row>
    <row r="36" spans="1:15" ht="15" customHeight="1" x14ac:dyDescent="0.2">
      <c r="A36" s="152" t="s">
        <v>839</v>
      </c>
    </row>
    <row r="37" spans="1:15" ht="15" customHeight="1" x14ac:dyDescent="0.2">
      <c r="A37" s="152" t="s">
        <v>785</v>
      </c>
    </row>
  </sheetData>
  <pageMargins left="0.19685039370078741" right="0.19685039370078741" top="0.59055118110236227" bottom="0.3937007874015748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AS122"/>
  <sheetViews>
    <sheetView zoomScaleNormal="100" workbookViewId="0">
      <pane xSplit="8" ySplit="11" topLeftCell="I89" activePane="bottomRight" state="frozen"/>
      <selection activeCell="I6" sqref="I6:AR10"/>
      <selection pane="topRight" activeCell="I6" sqref="I6:AR10"/>
      <selection pane="bottomLeft" activeCell="I6" sqref="I6:AR10"/>
      <selection pane="bottomRight" activeCell="I6" sqref="I6:AR10"/>
    </sheetView>
  </sheetViews>
  <sheetFormatPr defaultColWidth="9.140625" defaultRowHeight="15" x14ac:dyDescent="0.25"/>
  <cols>
    <col min="1" max="1" width="5" style="233" customWidth="1"/>
    <col min="2" max="2" width="6.140625" style="175" bestFit="1" customWidth="1"/>
    <col min="3" max="3" width="10.7109375" style="284" customWidth="1"/>
    <col min="4" max="4" width="7.85546875" style="175" bestFit="1" customWidth="1"/>
    <col min="5" max="5" width="36.140625" style="175" customWidth="1"/>
    <col min="6" max="6" width="5.7109375" style="175" customWidth="1"/>
    <col min="7" max="7" width="10.28515625" style="175" customWidth="1"/>
    <col min="8" max="8" width="8" style="175" customWidth="1"/>
    <col min="9" max="9" width="12" style="239" customWidth="1"/>
    <col min="10" max="10" width="11.28515625" style="239" customWidth="1"/>
    <col min="11" max="11" width="12" style="239" customWidth="1"/>
    <col min="12" max="12" width="11.85546875" style="239" customWidth="1"/>
    <col min="13" max="13" width="12.5703125" style="239" customWidth="1"/>
    <col min="14" max="14" width="12.140625" style="732" customWidth="1"/>
    <col min="15" max="17" width="10.28515625" style="239" customWidth="1"/>
    <col min="18" max="18" width="10.5703125" style="239" customWidth="1"/>
    <col min="19" max="19" width="12.140625" style="239" customWidth="1"/>
    <col min="20" max="24" width="10.28515625" style="239" customWidth="1"/>
    <col min="25" max="25" width="10.42578125" style="240" customWidth="1"/>
    <col min="26" max="26" width="10.140625" style="239" customWidth="1"/>
    <col min="27" max="27" width="9.140625" style="239" customWidth="1"/>
    <col min="28" max="28" width="9.7109375" style="239" customWidth="1"/>
    <col min="29" max="30" width="9.140625" style="239" customWidth="1"/>
    <col min="31" max="31" width="9.140625" style="732" customWidth="1"/>
    <col min="32" max="34" width="9.140625" style="240" customWidth="1"/>
    <col min="35" max="35" width="10.5703125" style="463" customWidth="1"/>
    <col min="36" max="37" width="9.140625" style="240" customWidth="1"/>
    <col min="38" max="38" width="12.28515625" style="240" customWidth="1"/>
    <col min="39" max="39" width="12" style="240" customWidth="1"/>
    <col min="40" max="42" width="10.85546875" style="240" customWidth="1"/>
    <col min="43" max="43" width="11.85546875" style="240" customWidth="1"/>
    <col min="44" max="44" width="10.85546875" style="240" customWidth="1"/>
    <col min="45" max="45" width="9.140625" style="175" customWidth="1"/>
    <col min="46" max="16384" width="9.140625" style="175"/>
  </cols>
  <sheetData>
    <row r="1" spans="1:45" x14ac:dyDescent="0.25">
      <c r="A1" s="321" t="s">
        <v>2</v>
      </c>
      <c r="B1" s="321"/>
      <c r="C1" s="173"/>
      <c r="D1" s="321"/>
      <c r="E1" s="321"/>
      <c r="F1" s="174"/>
      <c r="G1" s="174"/>
      <c r="H1" s="174"/>
      <c r="Z1" s="48"/>
      <c r="AA1" s="48"/>
      <c r="AB1" s="48"/>
      <c r="AC1" s="48"/>
      <c r="AD1" s="48"/>
      <c r="AE1" s="750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5" x14ac:dyDescent="0.25">
      <c r="A2" s="321" t="s">
        <v>3</v>
      </c>
      <c r="B2" s="321"/>
      <c r="C2" s="173"/>
      <c r="D2" s="321"/>
      <c r="E2" s="321"/>
      <c r="F2" s="174"/>
      <c r="G2" s="174"/>
      <c r="H2" s="174"/>
      <c r="AE2" s="240"/>
    </row>
    <row r="3" spans="1:45" x14ac:dyDescent="0.25">
      <c r="A3" s="973" t="s">
        <v>4</v>
      </c>
      <c r="B3" s="973"/>
      <c r="C3" s="973"/>
      <c r="D3" s="973"/>
      <c r="E3" s="973"/>
      <c r="F3" s="174"/>
      <c r="G3" s="174"/>
      <c r="H3" s="174"/>
      <c r="I3" s="733"/>
      <c r="J3" s="733"/>
      <c r="K3" s="733"/>
      <c r="L3" s="733"/>
      <c r="M3" s="733"/>
      <c r="N3" s="734"/>
      <c r="O3" s="733"/>
      <c r="P3" s="733"/>
      <c r="Q3" s="733"/>
      <c r="R3" s="733"/>
      <c r="S3" s="733"/>
      <c r="T3" s="733"/>
      <c r="Z3" s="380"/>
      <c r="AA3" s="380"/>
      <c r="AE3" s="240"/>
    </row>
    <row r="4" spans="1:45" x14ac:dyDescent="0.25">
      <c r="A4" s="176"/>
      <c r="B4" s="321"/>
      <c r="C4" s="321"/>
      <c r="D4" s="321"/>
      <c r="E4" s="321"/>
      <c r="F4" s="174"/>
      <c r="G4" s="174"/>
      <c r="H4" s="174"/>
      <c r="O4" s="49"/>
      <c r="P4" s="90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  <c r="AF4" s="900"/>
      <c r="AG4" s="50"/>
      <c r="AH4" s="50"/>
      <c r="AI4" s="50"/>
      <c r="AJ4" s="50"/>
      <c r="AK4" s="50"/>
    </row>
    <row r="5" spans="1:45" ht="16.5" thickBot="1" x14ac:dyDescent="0.3">
      <c r="A5" s="127" t="s">
        <v>841</v>
      </c>
      <c r="B5" s="475"/>
      <c r="C5" s="475"/>
      <c r="D5" s="475"/>
      <c r="E5" s="474"/>
      <c r="F5" s="551"/>
      <c r="G5" s="551"/>
      <c r="H5" s="177"/>
      <c r="J5" s="733"/>
      <c r="K5" s="733"/>
      <c r="L5" s="733"/>
      <c r="M5" s="733"/>
      <c r="N5" s="734"/>
      <c r="O5" s="322"/>
      <c r="P5" s="707" t="s">
        <v>832</v>
      </c>
      <c r="Q5" s="49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49"/>
      <c r="AC5" s="49"/>
      <c r="AD5" s="49"/>
      <c r="AE5" s="50"/>
      <c r="AF5" s="707" t="s">
        <v>832</v>
      </c>
      <c r="AG5" s="50"/>
      <c r="AH5" s="50"/>
      <c r="AI5" s="50"/>
      <c r="AJ5" s="50"/>
      <c r="AK5" s="50"/>
    </row>
    <row r="6" spans="1:45" ht="15" customHeight="1" thickBot="1" x14ac:dyDescent="0.3">
      <c r="A6" s="390"/>
      <c r="B6" s="391"/>
      <c r="C6" s="392"/>
      <c r="D6" s="392"/>
      <c r="E6" s="391"/>
      <c r="F6" s="391"/>
      <c r="G6" s="47"/>
      <c r="H6" s="174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5" ht="16.5" customHeight="1" thickBot="1" x14ac:dyDescent="0.3">
      <c r="A7" s="176"/>
      <c r="B7" s="178"/>
      <c r="C7" s="60"/>
      <c r="D7" s="179"/>
      <c r="E7" s="178"/>
      <c r="F7" s="174"/>
      <c r="G7" s="174"/>
      <c r="H7" s="174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5" ht="15" customHeight="1" x14ac:dyDescent="0.25">
      <c r="A8" s="180"/>
      <c r="B8" s="181"/>
      <c r="C8" s="181"/>
      <c r="D8" s="181"/>
      <c r="E8" s="181"/>
      <c r="F8" s="181"/>
      <c r="G8" s="181"/>
      <c r="H8" s="181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5" ht="36" customHeight="1" thickBot="1" x14ac:dyDescent="0.3">
      <c r="A9" s="182" t="s">
        <v>751</v>
      </c>
      <c r="B9" s="60"/>
      <c r="C9" s="60"/>
      <c r="D9" s="183"/>
      <c r="E9" s="60"/>
      <c r="F9" s="184"/>
      <c r="G9" s="185"/>
      <c r="H9" s="185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5" ht="23.25" thickBot="1" x14ac:dyDescent="0.3">
      <c r="A10" s="186" t="s">
        <v>729</v>
      </c>
      <c r="B10" s="187" t="s">
        <v>512</v>
      </c>
      <c r="C10" s="187" t="s">
        <v>513</v>
      </c>
      <c r="D10" s="187" t="s">
        <v>250</v>
      </c>
      <c r="E10" s="115" t="s">
        <v>731</v>
      </c>
      <c r="F10" s="187" t="s">
        <v>0</v>
      </c>
      <c r="G10" s="188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5" s="192" customFormat="1" ht="12" thickBot="1" x14ac:dyDescent="0.25">
      <c r="A11" s="189" t="s">
        <v>514</v>
      </c>
      <c r="B11" s="190" t="s">
        <v>515</v>
      </c>
      <c r="C11" s="190" t="s">
        <v>252</v>
      </c>
      <c r="D11" s="190" t="s">
        <v>253</v>
      </c>
      <c r="E11" s="190" t="s">
        <v>516</v>
      </c>
      <c r="F11" s="190" t="s">
        <v>0</v>
      </c>
      <c r="G11" s="190" t="s">
        <v>517</v>
      </c>
      <c r="H11" s="191" t="s">
        <v>725</v>
      </c>
      <c r="I11" s="575" t="s">
        <v>254</v>
      </c>
      <c r="J11" s="533" t="s">
        <v>255</v>
      </c>
      <c r="K11" s="533" t="s">
        <v>256</v>
      </c>
      <c r="L11" s="533" t="s">
        <v>257</v>
      </c>
      <c r="M11" s="533" t="s">
        <v>804</v>
      </c>
      <c r="N11" s="576" t="s">
        <v>827</v>
      </c>
      <c r="O11" s="534" t="s">
        <v>776</v>
      </c>
      <c r="P11" s="533" t="s">
        <v>789</v>
      </c>
      <c r="Q11" s="533" t="s">
        <v>776</v>
      </c>
      <c r="R11" s="533" t="s">
        <v>776</v>
      </c>
      <c r="S11" s="533" t="s">
        <v>789</v>
      </c>
      <c r="T11" s="533" t="s">
        <v>789</v>
      </c>
      <c r="U11" s="533" t="s">
        <v>776</v>
      </c>
      <c r="V11" s="534" t="s">
        <v>777</v>
      </c>
      <c r="W11" s="533" t="s">
        <v>777</v>
      </c>
      <c r="X11" s="533" t="s">
        <v>777</v>
      </c>
      <c r="Y11" s="533" t="s">
        <v>777</v>
      </c>
      <c r="Z11" s="534" t="s">
        <v>775</v>
      </c>
      <c r="AA11" s="533" t="s">
        <v>273</v>
      </c>
      <c r="AB11" s="533" t="s">
        <v>274</v>
      </c>
      <c r="AC11" s="533" t="s">
        <v>803</v>
      </c>
      <c r="AD11" s="580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34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827</v>
      </c>
    </row>
    <row r="12" spans="1:45" ht="12.95" customHeight="1" x14ac:dyDescent="0.25">
      <c r="A12" s="193">
        <v>1</v>
      </c>
      <c r="B12" s="242">
        <v>5415</v>
      </c>
      <c r="C12" s="243">
        <v>667000135</v>
      </c>
      <c r="D12" s="242">
        <v>71011170</v>
      </c>
      <c r="E12" s="268" t="s">
        <v>742</v>
      </c>
      <c r="F12" s="242">
        <v>3111</v>
      </c>
      <c r="G12" s="269" t="s">
        <v>290</v>
      </c>
      <c r="H12" s="245" t="s">
        <v>262</v>
      </c>
      <c r="I12" s="627">
        <f>SUM(J12:M12)</f>
        <v>18117135</v>
      </c>
      <c r="J12" s="677">
        <v>13440011</v>
      </c>
      <c r="K12" s="431">
        <f>ROUND(J12*33.8%,0)</f>
        <v>4542724</v>
      </c>
      <c r="L12" s="431">
        <f>ROUND(J12*1%,0)</f>
        <v>134400</v>
      </c>
      <c r="M12" s="578">
        <v>0</v>
      </c>
      <c r="N12" s="751">
        <v>22.4</v>
      </c>
      <c r="O12" s="577">
        <f>V12*-1</f>
        <v>0</v>
      </c>
      <c r="P12" s="578">
        <v>0</v>
      </c>
      <c r="Q12" s="578">
        <v>0</v>
      </c>
      <c r="R12" s="578">
        <v>0</v>
      </c>
      <c r="S12" s="578">
        <v>0</v>
      </c>
      <c r="T12" s="578">
        <v>0</v>
      </c>
      <c r="U12" s="578">
        <f>O12+P12+Q12+R12+S12+T12</f>
        <v>0</v>
      </c>
      <c r="V12" s="578">
        <v>0</v>
      </c>
      <c r="W12" s="578">
        <v>0</v>
      </c>
      <c r="X12" s="578">
        <v>0</v>
      </c>
      <c r="Y12" s="578">
        <f>V12+W12+X12</f>
        <v>0</v>
      </c>
      <c r="Z12" s="578">
        <f>U12+Y12</f>
        <v>0</v>
      </c>
      <c r="AA12" s="581">
        <f>ROUND((U12+Y12)*33.8%,0)</f>
        <v>0</v>
      </c>
      <c r="AB12" s="581">
        <f>ROUND(U12*1%,0)</f>
        <v>0</v>
      </c>
      <c r="AC12" s="578">
        <v>0</v>
      </c>
      <c r="AD12" s="622">
        <f>Z12+AA12+AB12+AC12</f>
        <v>0</v>
      </c>
      <c r="AE12" s="838">
        <v>0</v>
      </c>
      <c r="AF12" s="582">
        <v>0</v>
      </c>
      <c r="AG12" s="582">
        <v>0</v>
      </c>
      <c r="AH12" s="582">
        <v>0</v>
      </c>
      <c r="AI12" s="582">
        <v>0</v>
      </c>
      <c r="AJ12" s="582">
        <v>0</v>
      </c>
      <c r="AK12" s="695">
        <f>SUM(AE12:AJ12)</f>
        <v>0</v>
      </c>
      <c r="AL12" s="638">
        <f>I12+AD12</f>
        <v>18117135</v>
      </c>
      <c r="AM12" s="526">
        <f>J12+U12</f>
        <v>13440011</v>
      </c>
      <c r="AN12" s="526">
        <f>Y12</f>
        <v>0</v>
      </c>
      <c r="AO12" s="526">
        <f t="shared" ref="AO12:AQ14" si="0">K12+AA12</f>
        <v>4542724</v>
      </c>
      <c r="AP12" s="526">
        <f t="shared" si="0"/>
        <v>134400</v>
      </c>
      <c r="AQ12" s="526">
        <f t="shared" si="0"/>
        <v>0</v>
      </c>
      <c r="AR12" s="625">
        <f>N12+AK12</f>
        <v>22.4</v>
      </c>
      <c r="AS12" s="240"/>
    </row>
    <row r="13" spans="1:45" ht="12.95" customHeight="1" x14ac:dyDescent="0.25">
      <c r="A13" s="205">
        <v>1</v>
      </c>
      <c r="B13" s="246">
        <v>5415</v>
      </c>
      <c r="C13" s="247">
        <v>667000135</v>
      </c>
      <c r="D13" s="246">
        <v>71011170</v>
      </c>
      <c r="E13" s="268" t="s">
        <v>742</v>
      </c>
      <c r="F13" s="246">
        <v>3111</v>
      </c>
      <c r="G13" s="209" t="s">
        <v>278</v>
      </c>
      <c r="H13" s="209" t="s">
        <v>263</v>
      </c>
      <c r="I13" s="586">
        <f t="shared" ref="I13:I14" si="1">SUM(J13:M13)</f>
        <v>0</v>
      </c>
      <c r="J13" s="678"/>
      <c r="K13" s="55">
        <f>ROUND(J13*33.8%,0)</f>
        <v>0</v>
      </c>
      <c r="L13" s="55">
        <f>ROUND(J13*1%,0)</f>
        <v>0</v>
      </c>
      <c r="M13" s="325">
        <v>0</v>
      </c>
      <c r="N13" s="752"/>
      <c r="O13" s="440">
        <f>V13*-1</f>
        <v>0</v>
      </c>
      <c r="P13" s="578">
        <v>251404</v>
      </c>
      <c r="Q13" s="325">
        <v>0</v>
      </c>
      <c r="R13" s="325">
        <v>0</v>
      </c>
      <c r="S13" s="325">
        <v>0</v>
      </c>
      <c r="T13" s="325">
        <v>0</v>
      </c>
      <c r="U13" s="492">
        <f>O13+P13+Q13+R13+S13+T13</f>
        <v>251404</v>
      </c>
      <c r="V13" s="325">
        <v>0</v>
      </c>
      <c r="W13" s="325">
        <v>0</v>
      </c>
      <c r="X13" s="325">
        <v>0</v>
      </c>
      <c r="Y13" s="492">
        <f t="shared" ref="Y13:Y14" si="2">V13+W13+X13</f>
        <v>0</v>
      </c>
      <c r="Z13" s="492">
        <f t="shared" ref="Z13:Z14" si="3">U13+Y13</f>
        <v>251404</v>
      </c>
      <c r="AA13" s="494">
        <f t="shared" ref="AA13:AA14" si="4">ROUND((U13+Y13)*33.8%,0)</f>
        <v>84975</v>
      </c>
      <c r="AB13" s="494">
        <f t="shared" ref="AB13:AB14" si="5">ROUND(U13*1%,0)</f>
        <v>2514</v>
      </c>
      <c r="AC13" s="492">
        <v>0</v>
      </c>
      <c r="AD13" s="789">
        <f t="shared" ref="AD13:AD14" si="6">Z13+AA13+AB13+AC13</f>
        <v>338893</v>
      </c>
      <c r="AE13" s="715">
        <v>0</v>
      </c>
      <c r="AF13" s="582">
        <v>0.6</v>
      </c>
      <c r="AG13" s="326">
        <v>0</v>
      </c>
      <c r="AH13" s="326">
        <v>0</v>
      </c>
      <c r="AI13" s="326">
        <v>0</v>
      </c>
      <c r="AJ13" s="326">
        <v>0</v>
      </c>
      <c r="AK13" s="626">
        <f>SUM(AE13:AJ13)</f>
        <v>0.6</v>
      </c>
      <c r="AL13" s="696">
        <f>I13+AD13</f>
        <v>338893</v>
      </c>
      <c r="AM13" s="492">
        <f>J13+U13</f>
        <v>251404</v>
      </c>
      <c r="AN13" s="492">
        <f>Y13</f>
        <v>0</v>
      </c>
      <c r="AO13" s="492">
        <f t="shared" si="0"/>
        <v>84975</v>
      </c>
      <c r="AP13" s="492">
        <f t="shared" si="0"/>
        <v>2514</v>
      </c>
      <c r="AQ13" s="492">
        <f t="shared" si="0"/>
        <v>0</v>
      </c>
      <c r="AR13" s="626">
        <f>N13+AK13</f>
        <v>0.6</v>
      </c>
      <c r="AS13" s="240"/>
    </row>
    <row r="14" spans="1:45" ht="12.95" customHeight="1" x14ac:dyDescent="0.25">
      <c r="A14" s="205">
        <v>1</v>
      </c>
      <c r="B14" s="246">
        <v>5415</v>
      </c>
      <c r="C14" s="247">
        <v>667000135</v>
      </c>
      <c r="D14" s="246">
        <v>71011170</v>
      </c>
      <c r="E14" s="268" t="s">
        <v>742</v>
      </c>
      <c r="F14" s="246">
        <v>3111</v>
      </c>
      <c r="G14" s="211" t="s">
        <v>279</v>
      </c>
      <c r="H14" s="209" t="s">
        <v>262</v>
      </c>
      <c r="I14" s="586">
        <f t="shared" si="1"/>
        <v>984085</v>
      </c>
      <c r="J14" s="678">
        <v>730034</v>
      </c>
      <c r="K14" s="55">
        <f>ROUND(J14*33.8%,0)</f>
        <v>246751</v>
      </c>
      <c r="L14" s="55">
        <f>ROUND(J14*1%,0)</f>
        <v>7300</v>
      </c>
      <c r="M14" s="325">
        <v>0</v>
      </c>
      <c r="N14" s="752">
        <v>1.8</v>
      </c>
      <c r="O14" s="440">
        <f>V14*-1</f>
        <v>0</v>
      </c>
      <c r="P14" s="578">
        <v>0</v>
      </c>
      <c r="Q14" s="325">
        <v>0</v>
      </c>
      <c r="R14" s="325">
        <v>0</v>
      </c>
      <c r="S14" s="325">
        <v>0</v>
      </c>
      <c r="T14" s="325">
        <v>0</v>
      </c>
      <c r="U14" s="492">
        <f>O14+P14+Q14+R14+S14+T14</f>
        <v>0</v>
      </c>
      <c r="V14" s="325">
        <v>0</v>
      </c>
      <c r="W14" s="325">
        <v>0</v>
      </c>
      <c r="X14" s="325">
        <v>0</v>
      </c>
      <c r="Y14" s="492">
        <f t="shared" si="2"/>
        <v>0</v>
      </c>
      <c r="Z14" s="492">
        <f t="shared" si="3"/>
        <v>0</v>
      </c>
      <c r="AA14" s="494">
        <f t="shared" si="4"/>
        <v>0</v>
      </c>
      <c r="AB14" s="494">
        <f t="shared" si="5"/>
        <v>0</v>
      </c>
      <c r="AC14" s="492">
        <v>0</v>
      </c>
      <c r="AD14" s="789">
        <f t="shared" si="6"/>
        <v>0</v>
      </c>
      <c r="AE14" s="715">
        <v>0</v>
      </c>
      <c r="AF14" s="582">
        <v>0</v>
      </c>
      <c r="AG14" s="326">
        <v>0</v>
      </c>
      <c r="AH14" s="326">
        <v>0</v>
      </c>
      <c r="AI14" s="326">
        <v>0</v>
      </c>
      <c r="AJ14" s="326">
        <v>0</v>
      </c>
      <c r="AK14" s="626">
        <f>SUM(AE14:AJ14)</f>
        <v>0</v>
      </c>
      <c r="AL14" s="696">
        <f>I14+AD14</f>
        <v>984085</v>
      </c>
      <c r="AM14" s="492">
        <f>J14+U14</f>
        <v>730034</v>
      </c>
      <c r="AN14" s="492">
        <f>Y14</f>
        <v>0</v>
      </c>
      <c r="AO14" s="492">
        <f t="shared" si="0"/>
        <v>246751</v>
      </c>
      <c r="AP14" s="492">
        <f t="shared" si="0"/>
        <v>7300</v>
      </c>
      <c r="AQ14" s="492">
        <f t="shared" si="0"/>
        <v>0</v>
      </c>
      <c r="AR14" s="626">
        <f>N14+AK14</f>
        <v>1.8</v>
      </c>
      <c r="AS14" s="240"/>
    </row>
    <row r="15" spans="1:45" ht="12.95" customHeight="1" x14ac:dyDescent="0.25">
      <c r="A15" s="198">
        <v>1</v>
      </c>
      <c r="B15" s="200">
        <v>5415</v>
      </c>
      <c r="C15" s="271">
        <v>667000135</v>
      </c>
      <c r="D15" s="200">
        <v>71011170</v>
      </c>
      <c r="E15" s="676" t="s">
        <v>742</v>
      </c>
      <c r="F15" s="200"/>
      <c r="G15" s="272"/>
      <c r="H15" s="567"/>
      <c r="I15" s="664">
        <f t="shared" ref="I15:AR15" si="7">SUM(I12:I14)</f>
        <v>19101220</v>
      </c>
      <c r="J15" s="679">
        <f t="shared" si="7"/>
        <v>14170045</v>
      </c>
      <c r="K15" s="355">
        <f t="shared" si="7"/>
        <v>4789475</v>
      </c>
      <c r="L15" s="355">
        <f t="shared" si="7"/>
        <v>141700</v>
      </c>
      <c r="M15" s="355">
        <f t="shared" ref="M15" si="8">SUM(M12:M14)</f>
        <v>0</v>
      </c>
      <c r="N15" s="753">
        <f t="shared" si="7"/>
        <v>24.2</v>
      </c>
      <c r="O15" s="442">
        <f t="shared" si="7"/>
        <v>0</v>
      </c>
      <c r="P15" s="442">
        <f t="shared" si="7"/>
        <v>251404</v>
      </c>
      <c r="Q15" s="355">
        <f t="shared" si="7"/>
        <v>0</v>
      </c>
      <c r="R15" s="355">
        <f t="shared" si="7"/>
        <v>0</v>
      </c>
      <c r="S15" s="355">
        <f t="shared" si="7"/>
        <v>0</v>
      </c>
      <c r="T15" s="355">
        <f t="shared" si="7"/>
        <v>0</v>
      </c>
      <c r="U15" s="355">
        <f t="shared" si="7"/>
        <v>251404</v>
      </c>
      <c r="V15" s="355">
        <f t="shared" si="7"/>
        <v>0</v>
      </c>
      <c r="W15" s="355">
        <f t="shared" si="7"/>
        <v>0</v>
      </c>
      <c r="X15" s="355">
        <f t="shared" si="7"/>
        <v>0</v>
      </c>
      <c r="Y15" s="355">
        <f t="shared" si="7"/>
        <v>0</v>
      </c>
      <c r="Z15" s="355">
        <f t="shared" si="7"/>
        <v>251404</v>
      </c>
      <c r="AA15" s="355">
        <f t="shared" si="7"/>
        <v>84975</v>
      </c>
      <c r="AB15" s="355">
        <f t="shared" si="7"/>
        <v>2514</v>
      </c>
      <c r="AC15" s="355">
        <f t="shared" si="7"/>
        <v>0</v>
      </c>
      <c r="AD15" s="683">
        <f t="shared" si="7"/>
        <v>338893</v>
      </c>
      <c r="AE15" s="839">
        <f t="shared" si="7"/>
        <v>0</v>
      </c>
      <c r="AF15" s="356">
        <f t="shared" si="7"/>
        <v>0.6</v>
      </c>
      <c r="AG15" s="356">
        <f t="shared" si="7"/>
        <v>0</v>
      </c>
      <c r="AH15" s="356">
        <f t="shared" si="7"/>
        <v>0</v>
      </c>
      <c r="AI15" s="356">
        <f t="shared" si="7"/>
        <v>0</v>
      </c>
      <c r="AJ15" s="356">
        <f t="shared" si="7"/>
        <v>0</v>
      </c>
      <c r="AK15" s="253">
        <f t="shared" si="7"/>
        <v>0.6</v>
      </c>
      <c r="AL15" s="842">
        <f t="shared" si="7"/>
        <v>19440113</v>
      </c>
      <c r="AM15" s="442">
        <f t="shared" si="7"/>
        <v>14421449</v>
      </c>
      <c r="AN15" s="355">
        <f t="shared" si="7"/>
        <v>0</v>
      </c>
      <c r="AO15" s="355">
        <f t="shared" si="7"/>
        <v>4874450</v>
      </c>
      <c r="AP15" s="355">
        <f t="shared" si="7"/>
        <v>144214</v>
      </c>
      <c r="AQ15" s="355">
        <f t="shared" si="7"/>
        <v>0</v>
      </c>
      <c r="AR15" s="253">
        <f t="shared" si="7"/>
        <v>24.8</v>
      </c>
      <c r="AS15" s="240"/>
    </row>
    <row r="16" spans="1:45" ht="12.95" customHeight="1" x14ac:dyDescent="0.25">
      <c r="A16" s="205">
        <v>2</v>
      </c>
      <c r="B16" s="246">
        <v>5416</v>
      </c>
      <c r="C16" s="247">
        <v>600099342</v>
      </c>
      <c r="D16" s="246">
        <v>854719</v>
      </c>
      <c r="E16" s="273" t="s">
        <v>397</v>
      </c>
      <c r="F16" s="246">
        <v>3113</v>
      </c>
      <c r="G16" s="270" t="s">
        <v>294</v>
      </c>
      <c r="H16" s="209" t="s">
        <v>262</v>
      </c>
      <c r="I16" s="586">
        <f t="shared" ref="I16:I19" si="9">SUM(J16:M16)</f>
        <v>19523867</v>
      </c>
      <c r="J16" s="678">
        <v>14483581</v>
      </c>
      <c r="K16" s="55">
        <f t="shared" ref="K16:K19" si="10">ROUND(J16*33.8%,0)</f>
        <v>4895450</v>
      </c>
      <c r="L16" s="55">
        <f t="shared" ref="L16:L19" si="11">ROUND(J16*1%,0)</f>
        <v>144836</v>
      </c>
      <c r="M16" s="325">
        <v>0</v>
      </c>
      <c r="N16" s="752">
        <v>20.125499999999999</v>
      </c>
      <c r="O16" s="445">
        <f>V16*-1</f>
        <v>-60000</v>
      </c>
      <c r="P16" s="578">
        <v>0</v>
      </c>
      <c r="Q16" s="325">
        <v>13900</v>
      </c>
      <c r="R16" s="325">
        <v>0</v>
      </c>
      <c r="S16" s="325">
        <v>0</v>
      </c>
      <c r="T16" s="325">
        <v>0</v>
      </c>
      <c r="U16" s="492">
        <f>O16+P16+Q16+R16+S16+T16</f>
        <v>-46100</v>
      </c>
      <c r="V16" s="325">
        <v>60000</v>
      </c>
      <c r="W16" s="325">
        <v>0</v>
      </c>
      <c r="X16" s="325">
        <v>0</v>
      </c>
      <c r="Y16" s="492">
        <f t="shared" ref="Y16:Y19" si="12">V16+W16+X16</f>
        <v>60000</v>
      </c>
      <c r="Z16" s="492">
        <f t="shared" ref="Z16:Z19" si="13">U16+Y16</f>
        <v>13900</v>
      </c>
      <c r="AA16" s="494">
        <f t="shared" ref="AA16:AA19" si="14">ROUND((U16+Y16)*33.8%,0)</f>
        <v>4698</v>
      </c>
      <c r="AB16" s="494">
        <f t="shared" ref="AB16:AB19" si="15">ROUND(U16*1%,0)</f>
        <v>-461</v>
      </c>
      <c r="AC16" s="492">
        <v>0</v>
      </c>
      <c r="AD16" s="789">
        <f t="shared" ref="AD16:AD19" si="16">Z16+AA16+AB16+AC16</f>
        <v>18137</v>
      </c>
      <c r="AE16" s="715">
        <v>-0.05</v>
      </c>
      <c r="AF16" s="582">
        <v>0</v>
      </c>
      <c r="AG16" s="326">
        <v>0</v>
      </c>
      <c r="AH16" s="326">
        <v>0.02</v>
      </c>
      <c r="AI16" s="326">
        <v>0</v>
      </c>
      <c r="AJ16" s="326">
        <v>0</v>
      </c>
      <c r="AK16" s="626">
        <f>SUM(AE16:AJ16)</f>
        <v>-3.0000000000000002E-2</v>
      </c>
      <c r="AL16" s="696">
        <f>I16+AD16</f>
        <v>19542004</v>
      </c>
      <c r="AM16" s="492">
        <f>J16+U16</f>
        <v>14437481</v>
      </c>
      <c r="AN16" s="492">
        <f>Y16</f>
        <v>60000</v>
      </c>
      <c r="AO16" s="492">
        <f t="shared" ref="AO16:AQ19" si="17">K16+AA16</f>
        <v>4900148</v>
      </c>
      <c r="AP16" s="492">
        <f t="shared" si="17"/>
        <v>144375</v>
      </c>
      <c r="AQ16" s="492">
        <f t="shared" si="17"/>
        <v>0</v>
      </c>
      <c r="AR16" s="626">
        <f>N16+AK16</f>
        <v>20.095499999999998</v>
      </c>
      <c r="AS16" s="240"/>
    </row>
    <row r="17" spans="1:45" ht="12.95" customHeight="1" x14ac:dyDescent="0.25">
      <c r="A17" s="737">
        <v>2</v>
      </c>
      <c r="B17" s="746">
        <v>5416</v>
      </c>
      <c r="C17" s="747">
        <v>600099342</v>
      </c>
      <c r="D17" s="746">
        <v>854719</v>
      </c>
      <c r="E17" s="439" t="s">
        <v>397</v>
      </c>
      <c r="F17" s="746">
        <v>3113</v>
      </c>
      <c r="G17" s="754" t="s">
        <v>799</v>
      </c>
      <c r="H17" s="740" t="s">
        <v>262</v>
      </c>
      <c r="I17" s="586">
        <f t="shared" si="9"/>
        <v>400131</v>
      </c>
      <c r="J17" s="678">
        <v>296833</v>
      </c>
      <c r="K17" s="55">
        <f t="shared" si="10"/>
        <v>100330</v>
      </c>
      <c r="L17" s="55">
        <f t="shared" si="11"/>
        <v>2968</v>
      </c>
      <c r="M17" s="325">
        <v>0</v>
      </c>
      <c r="N17" s="752">
        <v>0.53339999999999999</v>
      </c>
      <c r="O17" s="445">
        <f>V17*-1</f>
        <v>0</v>
      </c>
      <c r="P17" s="578">
        <v>0</v>
      </c>
      <c r="Q17" s="325">
        <v>0</v>
      </c>
      <c r="R17" s="325">
        <v>0</v>
      </c>
      <c r="S17" s="325">
        <v>0</v>
      </c>
      <c r="T17" s="325">
        <v>0</v>
      </c>
      <c r="U17" s="492">
        <f>O17+P17+Q17+R17+S17+T17</f>
        <v>0</v>
      </c>
      <c r="V17" s="325">
        <v>0</v>
      </c>
      <c r="W17" s="325">
        <v>0</v>
      </c>
      <c r="X17" s="325">
        <v>0</v>
      </c>
      <c r="Y17" s="492">
        <f>V17+W17+X17</f>
        <v>0</v>
      </c>
      <c r="Z17" s="492">
        <f>U17+Y17</f>
        <v>0</v>
      </c>
      <c r="AA17" s="494">
        <f>ROUND((U17+Y17)*33.8%,0)</f>
        <v>0</v>
      </c>
      <c r="AB17" s="494">
        <f>ROUND(U17*1%,0)</f>
        <v>0</v>
      </c>
      <c r="AC17" s="492">
        <v>0</v>
      </c>
      <c r="AD17" s="789">
        <f>Z17+AA17+AB17+AC17</f>
        <v>0</v>
      </c>
      <c r="AE17" s="715">
        <v>0</v>
      </c>
      <c r="AF17" s="582">
        <v>0</v>
      </c>
      <c r="AG17" s="326">
        <v>0</v>
      </c>
      <c r="AH17" s="326">
        <v>0</v>
      </c>
      <c r="AI17" s="326">
        <v>0</v>
      </c>
      <c r="AJ17" s="326">
        <v>0</v>
      </c>
      <c r="AK17" s="626">
        <f>SUM(AE17:AJ17)</f>
        <v>0</v>
      </c>
      <c r="AL17" s="696">
        <f>I17+AD17</f>
        <v>400131</v>
      </c>
      <c r="AM17" s="492">
        <f>J17+U17</f>
        <v>296833</v>
      </c>
      <c r="AN17" s="492">
        <f>Y17</f>
        <v>0</v>
      </c>
      <c r="AO17" s="492">
        <f t="shared" si="17"/>
        <v>100330</v>
      </c>
      <c r="AP17" s="492">
        <f t="shared" si="17"/>
        <v>2968</v>
      </c>
      <c r="AQ17" s="492">
        <f t="shared" si="17"/>
        <v>0</v>
      </c>
      <c r="AR17" s="626">
        <f>N17+AK17</f>
        <v>0.53339999999999999</v>
      </c>
      <c r="AS17" s="240"/>
    </row>
    <row r="18" spans="1:45" ht="12.95" customHeight="1" x14ac:dyDescent="0.25">
      <c r="A18" s="205">
        <v>2</v>
      </c>
      <c r="B18" s="246">
        <v>5416</v>
      </c>
      <c r="C18" s="247">
        <v>600099342</v>
      </c>
      <c r="D18" s="246">
        <v>854719</v>
      </c>
      <c r="E18" s="273" t="s">
        <v>397</v>
      </c>
      <c r="F18" s="246">
        <v>3113</v>
      </c>
      <c r="G18" s="209" t="s">
        <v>278</v>
      </c>
      <c r="H18" s="209" t="s">
        <v>263</v>
      </c>
      <c r="I18" s="586">
        <f t="shared" si="9"/>
        <v>0</v>
      </c>
      <c r="J18" s="678"/>
      <c r="K18" s="55">
        <f t="shared" si="10"/>
        <v>0</v>
      </c>
      <c r="L18" s="55">
        <f t="shared" si="11"/>
        <v>0</v>
      </c>
      <c r="M18" s="325">
        <v>0</v>
      </c>
      <c r="N18" s="752"/>
      <c r="O18" s="440">
        <f>V18*-1</f>
        <v>0</v>
      </c>
      <c r="P18" s="578">
        <f>1784036+48566</f>
        <v>1832602</v>
      </c>
      <c r="Q18" s="325">
        <v>0</v>
      </c>
      <c r="R18" s="325">
        <v>0</v>
      </c>
      <c r="S18" s="325">
        <v>0</v>
      </c>
      <c r="T18" s="325">
        <v>0</v>
      </c>
      <c r="U18" s="492">
        <f>O18+P18+Q18+R18+S18+T18</f>
        <v>1832602</v>
      </c>
      <c r="V18" s="325">
        <v>0</v>
      </c>
      <c r="W18" s="325">
        <v>0</v>
      </c>
      <c r="X18" s="325">
        <v>0</v>
      </c>
      <c r="Y18" s="492">
        <f t="shared" si="12"/>
        <v>0</v>
      </c>
      <c r="Z18" s="492">
        <f t="shared" si="13"/>
        <v>1832602</v>
      </c>
      <c r="AA18" s="494">
        <f t="shared" si="14"/>
        <v>619419</v>
      </c>
      <c r="AB18" s="494">
        <f t="shared" si="15"/>
        <v>18326</v>
      </c>
      <c r="AC18" s="492">
        <v>0</v>
      </c>
      <c r="AD18" s="789">
        <f t="shared" si="16"/>
        <v>2470347</v>
      </c>
      <c r="AE18" s="715">
        <v>0</v>
      </c>
      <c r="AF18" s="582">
        <f>4.3+0.09</f>
        <v>4.3899999999999997</v>
      </c>
      <c r="AG18" s="326">
        <v>0</v>
      </c>
      <c r="AH18" s="326">
        <v>0</v>
      </c>
      <c r="AI18" s="326">
        <v>0</v>
      </c>
      <c r="AJ18" s="326">
        <v>0</v>
      </c>
      <c r="AK18" s="626">
        <f>SUM(AE18:AJ18)</f>
        <v>4.3899999999999997</v>
      </c>
      <c r="AL18" s="696">
        <f>I18+AD18</f>
        <v>2470347</v>
      </c>
      <c r="AM18" s="492">
        <f>J18+U18</f>
        <v>1832602</v>
      </c>
      <c r="AN18" s="492">
        <f>Y18</f>
        <v>0</v>
      </c>
      <c r="AO18" s="492">
        <f t="shared" si="17"/>
        <v>619419</v>
      </c>
      <c r="AP18" s="492">
        <f t="shared" si="17"/>
        <v>18326</v>
      </c>
      <c r="AQ18" s="492">
        <f t="shared" si="17"/>
        <v>0</v>
      </c>
      <c r="AR18" s="626">
        <f>N18+AK18</f>
        <v>4.3899999999999997</v>
      </c>
      <c r="AS18" s="240"/>
    </row>
    <row r="19" spans="1:45" ht="12.95" customHeight="1" x14ac:dyDescent="0.25">
      <c r="A19" s="205">
        <v>2</v>
      </c>
      <c r="B19" s="246">
        <v>5416</v>
      </c>
      <c r="C19" s="247">
        <v>600099342</v>
      </c>
      <c r="D19" s="246">
        <v>854719</v>
      </c>
      <c r="E19" s="273" t="s">
        <v>397</v>
      </c>
      <c r="F19" s="246">
        <v>3143</v>
      </c>
      <c r="G19" s="209" t="s">
        <v>795</v>
      </c>
      <c r="H19" s="209" t="s">
        <v>262</v>
      </c>
      <c r="I19" s="586">
        <f t="shared" si="9"/>
        <v>2218883</v>
      </c>
      <c r="J19" s="55">
        <v>1646055</v>
      </c>
      <c r="K19" s="55">
        <f t="shared" si="10"/>
        <v>556367</v>
      </c>
      <c r="L19" s="55">
        <f t="shared" si="11"/>
        <v>16461</v>
      </c>
      <c r="M19" s="325">
        <v>0</v>
      </c>
      <c r="N19" s="752">
        <v>2.8571</v>
      </c>
      <c r="O19" s="440">
        <f>V19*-1</f>
        <v>0</v>
      </c>
      <c r="P19" s="578">
        <v>0</v>
      </c>
      <c r="Q19" s="325">
        <v>0</v>
      </c>
      <c r="R19" s="325">
        <v>0</v>
      </c>
      <c r="S19" s="325">
        <v>0</v>
      </c>
      <c r="T19" s="325">
        <v>0</v>
      </c>
      <c r="U19" s="492">
        <f>O19+P19+Q19+R19+S19+T19</f>
        <v>0</v>
      </c>
      <c r="V19" s="325">
        <v>0</v>
      </c>
      <c r="W19" s="325">
        <v>0</v>
      </c>
      <c r="X19" s="325">
        <v>0</v>
      </c>
      <c r="Y19" s="492">
        <f t="shared" si="12"/>
        <v>0</v>
      </c>
      <c r="Z19" s="492">
        <f t="shared" si="13"/>
        <v>0</v>
      </c>
      <c r="AA19" s="494">
        <f t="shared" si="14"/>
        <v>0</v>
      </c>
      <c r="AB19" s="494">
        <f t="shared" si="15"/>
        <v>0</v>
      </c>
      <c r="AC19" s="492">
        <v>0</v>
      </c>
      <c r="AD19" s="789">
        <f t="shared" si="16"/>
        <v>0</v>
      </c>
      <c r="AE19" s="715">
        <v>0</v>
      </c>
      <c r="AF19" s="582">
        <v>0</v>
      </c>
      <c r="AG19" s="326">
        <v>0</v>
      </c>
      <c r="AH19" s="326">
        <v>0</v>
      </c>
      <c r="AI19" s="326">
        <v>0</v>
      </c>
      <c r="AJ19" s="326">
        <v>0</v>
      </c>
      <c r="AK19" s="626">
        <f>SUM(AE19:AJ19)</f>
        <v>0</v>
      </c>
      <c r="AL19" s="696">
        <f>I19+AD19</f>
        <v>2218883</v>
      </c>
      <c r="AM19" s="492">
        <f>J19+U19</f>
        <v>1646055</v>
      </c>
      <c r="AN19" s="492">
        <f>Y19</f>
        <v>0</v>
      </c>
      <c r="AO19" s="492">
        <f t="shared" si="17"/>
        <v>556367</v>
      </c>
      <c r="AP19" s="492">
        <f t="shared" si="17"/>
        <v>16461</v>
      </c>
      <c r="AQ19" s="492">
        <f t="shared" si="17"/>
        <v>0</v>
      </c>
      <c r="AR19" s="626">
        <f>N19+AK19</f>
        <v>2.8571</v>
      </c>
      <c r="AS19" s="240"/>
    </row>
    <row r="20" spans="1:45" ht="12.95" customHeight="1" x14ac:dyDescent="0.25">
      <c r="A20" s="198">
        <v>2</v>
      </c>
      <c r="B20" s="250">
        <v>5416</v>
      </c>
      <c r="C20" s="251">
        <v>600099342</v>
      </c>
      <c r="D20" s="250">
        <v>854719</v>
      </c>
      <c r="E20" s="274" t="s">
        <v>398</v>
      </c>
      <c r="F20" s="250"/>
      <c r="G20" s="275"/>
      <c r="H20" s="568"/>
      <c r="I20" s="664">
        <f>SUM(I16:I19)</f>
        <v>22142881</v>
      </c>
      <c r="J20" s="664">
        <f t="shared" ref="J20:AR20" si="18">SUM(J16:J19)</f>
        <v>16426469</v>
      </c>
      <c r="K20" s="664">
        <f t="shared" si="18"/>
        <v>5552147</v>
      </c>
      <c r="L20" s="664">
        <f t="shared" si="18"/>
        <v>164265</v>
      </c>
      <c r="M20" s="355">
        <f t="shared" ref="M20" si="19">SUM(M16:M19)</f>
        <v>0</v>
      </c>
      <c r="N20" s="755">
        <f t="shared" si="18"/>
        <v>23.515999999999998</v>
      </c>
      <c r="O20" s="442">
        <f t="shared" si="18"/>
        <v>-60000</v>
      </c>
      <c r="P20" s="442">
        <f t="shared" si="18"/>
        <v>1832602</v>
      </c>
      <c r="Q20" s="355">
        <f t="shared" si="18"/>
        <v>13900</v>
      </c>
      <c r="R20" s="355">
        <f t="shared" si="18"/>
        <v>0</v>
      </c>
      <c r="S20" s="355">
        <f t="shared" si="18"/>
        <v>0</v>
      </c>
      <c r="T20" s="355">
        <f t="shared" si="18"/>
        <v>0</v>
      </c>
      <c r="U20" s="355">
        <f t="shared" si="18"/>
        <v>1786502</v>
      </c>
      <c r="V20" s="355">
        <f t="shared" si="18"/>
        <v>60000</v>
      </c>
      <c r="W20" s="355">
        <f t="shared" si="18"/>
        <v>0</v>
      </c>
      <c r="X20" s="355">
        <f t="shared" si="18"/>
        <v>0</v>
      </c>
      <c r="Y20" s="355">
        <f t="shared" si="18"/>
        <v>60000</v>
      </c>
      <c r="Z20" s="355">
        <f t="shared" si="18"/>
        <v>1846502</v>
      </c>
      <c r="AA20" s="355">
        <f t="shared" si="18"/>
        <v>624117</v>
      </c>
      <c r="AB20" s="355">
        <f t="shared" si="18"/>
        <v>17865</v>
      </c>
      <c r="AC20" s="355">
        <f t="shared" si="18"/>
        <v>0</v>
      </c>
      <c r="AD20" s="683">
        <f t="shared" si="18"/>
        <v>2488484</v>
      </c>
      <c r="AE20" s="839">
        <f t="shared" si="18"/>
        <v>-0.05</v>
      </c>
      <c r="AF20" s="356">
        <f t="shared" si="18"/>
        <v>4.3899999999999997</v>
      </c>
      <c r="AG20" s="356">
        <f t="shared" si="18"/>
        <v>0</v>
      </c>
      <c r="AH20" s="356">
        <f t="shared" si="18"/>
        <v>0.02</v>
      </c>
      <c r="AI20" s="356">
        <f t="shared" si="18"/>
        <v>0</v>
      </c>
      <c r="AJ20" s="356">
        <f t="shared" si="18"/>
        <v>0</v>
      </c>
      <c r="AK20" s="253">
        <f t="shared" si="18"/>
        <v>4.3599999999999994</v>
      </c>
      <c r="AL20" s="686">
        <f t="shared" si="18"/>
        <v>24631365</v>
      </c>
      <c r="AM20" s="442">
        <f t="shared" si="18"/>
        <v>18212971</v>
      </c>
      <c r="AN20" s="355">
        <f t="shared" si="18"/>
        <v>60000</v>
      </c>
      <c r="AO20" s="355">
        <f t="shared" si="18"/>
        <v>6176264</v>
      </c>
      <c r="AP20" s="355">
        <f t="shared" si="18"/>
        <v>182130</v>
      </c>
      <c r="AQ20" s="355">
        <f t="shared" si="18"/>
        <v>0</v>
      </c>
      <c r="AR20" s="253">
        <f t="shared" si="18"/>
        <v>27.875999999999998</v>
      </c>
      <c r="AS20" s="240"/>
    </row>
    <row r="21" spans="1:45" ht="12.95" customHeight="1" x14ac:dyDescent="0.25">
      <c r="A21" s="205">
        <v>3</v>
      </c>
      <c r="B21" s="246">
        <v>5413</v>
      </c>
      <c r="C21" s="247">
        <v>600099334</v>
      </c>
      <c r="D21" s="246">
        <v>854697</v>
      </c>
      <c r="E21" s="273" t="s">
        <v>399</v>
      </c>
      <c r="F21" s="246">
        <v>3113</v>
      </c>
      <c r="G21" s="270" t="s">
        <v>294</v>
      </c>
      <c r="H21" s="209" t="s">
        <v>262</v>
      </c>
      <c r="I21" s="586">
        <f t="shared" ref="I21:I25" si="20">SUM(J21:M21)</f>
        <v>25468583</v>
      </c>
      <c r="J21" s="678">
        <v>18893607</v>
      </c>
      <c r="K21" s="55">
        <f t="shared" ref="K21:K25" si="21">ROUND(J21*33.8%,0)</f>
        <v>6386039</v>
      </c>
      <c r="L21" s="55">
        <f>ROUND(J21*1%,0)+1</f>
        <v>188937</v>
      </c>
      <c r="M21" s="325">
        <v>0</v>
      </c>
      <c r="N21" s="752">
        <v>25.864100000000001</v>
      </c>
      <c r="O21" s="445">
        <f>V21*-1</f>
        <v>-36000</v>
      </c>
      <c r="P21" s="578">
        <v>0</v>
      </c>
      <c r="Q21" s="325">
        <v>0</v>
      </c>
      <c r="R21" s="325">
        <v>0</v>
      </c>
      <c r="S21" s="325">
        <v>0</v>
      </c>
      <c r="T21" s="325">
        <v>0</v>
      </c>
      <c r="U21" s="492">
        <f>O21+P21+Q21+R21+S21+T21</f>
        <v>-36000</v>
      </c>
      <c r="V21" s="325">
        <v>36000</v>
      </c>
      <c r="W21" s="325">
        <v>0</v>
      </c>
      <c r="X21" s="325">
        <v>0</v>
      </c>
      <c r="Y21" s="492">
        <f t="shared" ref="Y21:Y25" si="22">V21+W21+X21</f>
        <v>36000</v>
      </c>
      <c r="Z21" s="492">
        <f t="shared" ref="Z21:Z25" si="23">U21+Y21</f>
        <v>0</v>
      </c>
      <c r="AA21" s="494">
        <f t="shared" ref="AA21:AA25" si="24">ROUND((U21+Y21)*33.8%,0)</f>
        <v>0</v>
      </c>
      <c r="AB21" s="494">
        <f t="shared" ref="AB21:AB25" si="25">ROUND(U21*1%,0)</f>
        <v>-360</v>
      </c>
      <c r="AC21" s="492">
        <v>0</v>
      </c>
      <c r="AD21" s="789">
        <f t="shared" ref="AD21:AD25" si="26">Z21+AA21+AB21+AC21</f>
        <v>-360</v>
      </c>
      <c r="AE21" s="715">
        <v>-0.02</v>
      </c>
      <c r="AF21" s="582">
        <v>0</v>
      </c>
      <c r="AG21" s="326">
        <v>0</v>
      </c>
      <c r="AH21" s="326">
        <v>0</v>
      </c>
      <c r="AI21" s="326">
        <v>0</v>
      </c>
      <c r="AJ21" s="326">
        <v>0</v>
      </c>
      <c r="AK21" s="626">
        <f>SUM(AE21:AJ21)</f>
        <v>-0.02</v>
      </c>
      <c r="AL21" s="696">
        <f>I21+AD21</f>
        <v>25468223</v>
      </c>
      <c r="AM21" s="492">
        <f>J21+U21</f>
        <v>18857607</v>
      </c>
      <c r="AN21" s="492">
        <f>Y21</f>
        <v>36000</v>
      </c>
      <c r="AO21" s="492">
        <f t="shared" ref="AO21:AQ25" si="27">K21+AA21</f>
        <v>6386039</v>
      </c>
      <c r="AP21" s="492">
        <f t="shared" si="27"/>
        <v>188577</v>
      </c>
      <c r="AQ21" s="492">
        <f t="shared" si="27"/>
        <v>0</v>
      </c>
      <c r="AR21" s="626">
        <f>N21+AK21</f>
        <v>25.844100000000001</v>
      </c>
      <c r="AS21" s="240"/>
    </row>
    <row r="22" spans="1:45" ht="12.95" customHeight="1" x14ac:dyDescent="0.25">
      <c r="A22" s="737">
        <v>3</v>
      </c>
      <c r="B22" s="746">
        <v>5413</v>
      </c>
      <c r="C22" s="747">
        <v>600099334</v>
      </c>
      <c r="D22" s="746">
        <v>854697</v>
      </c>
      <c r="E22" s="439" t="s">
        <v>399</v>
      </c>
      <c r="F22" s="746">
        <v>3113</v>
      </c>
      <c r="G22" s="754" t="s">
        <v>799</v>
      </c>
      <c r="H22" s="740" t="s">
        <v>262</v>
      </c>
      <c r="I22" s="586">
        <f t="shared" si="20"/>
        <v>567408</v>
      </c>
      <c r="J22" s="678">
        <v>420926</v>
      </c>
      <c r="K22" s="55">
        <f t="shared" si="21"/>
        <v>142273</v>
      </c>
      <c r="L22" s="55">
        <f t="shared" ref="L22:L25" si="28">ROUND(J22*1%,0)</f>
        <v>4209</v>
      </c>
      <c r="M22" s="325">
        <v>0</v>
      </c>
      <c r="N22" s="752">
        <v>0.8</v>
      </c>
      <c r="O22" s="445">
        <f>V22*-1</f>
        <v>0</v>
      </c>
      <c r="P22" s="578">
        <v>0</v>
      </c>
      <c r="Q22" s="325">
        <v>0</v>
      </c>
      <c r="R22" s="325">
        <v>0</v>
      </c>
      <c r="S22" s="325">
        <v>0</v>
      </c>
      <c r="T22" s="325">
        <v>0</v>
      </c>
      <c r="U22" s="492">
        <f>O22+P22+Q22+R22+S22+T22</f>
        <v>0</v>
      </c>
      <c r="V22" s="325">
        <v>0</v>
      </c>
      <c r="W22" s="325">
        <v>0</v>
      </c>
      <c r="X22" s="325">
        <v>0</v>
      </c>
      <c r="Y22" s="492">
        <f>V22+W22+X22</f>
        <v>0</v>
      </c>
      <c r="Z22" s="492">
        <f>U22+Y22</f>
        <v>0</v>
      </c>
      <c r="AA22" s="494">
        <f>ROUND((U22+Y22)*33.8%,0)</f>
        <v>0</v>
      </c>
      <c r="AB22" s="494">
        <f>ROUND(U22*1%,0)</f>
        <v>0</v>
      </c>
      <c r="AC22" s="492">
        <v>0</v>
      </c>
      <c r="AD22" s="789">
        <f>Z22+AA22+AB22+AC22</f>
        <v>0</v>
      </c>
      <c r="AE22" s="715">
        <v>0</v>
      </c>
      <c r="AF22" s="582">
        <v>0</v>
      </c>
      <c r="AG22" s="326">
        <v>0</v>
      </c>
      <c r="AH22" s="326">
        <v>0</v>
      </c>
      <c r="AI22" s="326">
        <v>0</v>
      </c>
      <c r="AJ22" s="326">
        <v>0</v>
      </c>
      <c r="AK22" s="626">
        <f>SUM(AE22:AJ22)</f>
        <v>0</v>
      </c>
      <c r="AL22" s="696">
        <f>I22+AD22</f>
        <v>567408</v>
      </c>
      <c r="AM22" s="492">
        <f>J22+U22</f>
        <v>420926</v>
      </c>
      <c r="AN22" s="492">
        <f>Y22</f>
        <v>0</v>
      </c>
      <c r="AO22" s="492">
        <f t="shared" si="27"/>
        <v>142273</v>
      </c>
      <c r="AP22" s="492">
        <f t="shared" si="27"/>
        <v>4209</v>
      </c>
      <c r="AQ22" s="492">
        <f t="shared" si="27"/>
        <v>0</v>
      </c>
      <c r="AR22" s="626">
        <f>N22+AK22</f>
        <v>0.8</v>
      </c>
      <c r="AS22" s="240"/>
    </row>
    <row r="23" spans="1:45" ht="12.95" customHeight="1" x14ac:dyDescent="0.25">
      <c r="A23" s="205">
        <v>3</v>
      </c>
      <c r="B23" s="246">
        <v>5413</v>
      </c>
      <c r="C23" s="247">
        <v>600099334</v>
      </c>
      <c r="D23" s="246">
        <v>854697</v>
      </c>
      <c r="E23" s="273" t="s">
        <v>399</v>
      </c>
      <c r="F23" s="246">
        <v>3113</v>
      </c>
      <c r="G23" s="209" t="s">
        <v>278</v>
      </c>
      <c r="H23" s="209" t="s">
        <v>263</v>
      </c>
      <c r="I23" s="586">
        <f t="shared" si="20"/>
        <v>0</v>
      </c>
      <c r="J23" s="678"/>
      <c r="K23" s="55">
        <f t="shared" si="21"/>
        <v>0</v>
      </c>
      <c r="L23" s="55">
        <f t="shared" si="28"/>
        <v>0</v>
      </c>
      <c r="M23" s="325">
        <v>0</v>
      </c>
      <c r="N23" s="752"/>
      <c r="O23" s="440">
        <f>V23*-1</f>
        <v>0</v>
      </c>
      <c r="P23" s="578">
        <v>2760838</v>
      </c>
      <c r="Q23" s="325">
        <v>0</v>
      </c>
      <c r="R23" s="325">
        <v>0</v>
      </c>
      <c r="S23" s="325">
        <v>0</v>
      </c>
      <c r="T23" s="325">
        <v>0</v>
      </c>
      <c r="U23" s="492">
        <f>O23+P23+Q23+R23+S23+T23</f>
        <v>2760838</v>
      </c>
      <c r="V23" s="325">
        <v>0</v>
      </c>
      <c r="W23" s="325">
        <v>0</v>
      </c>
      <c r="X23" s="325">
        <v>0</v>
      </c>
      <c r="Y23" s="492">
        <f t="shared" si="22"/>
        <v>0</v>
      </c>
      <c r="Z23" s="492">
        <f t="shared" si="23"/>
        <v>2760838</v>
      </c>
      <c r="AA23" s="494">
        <f t="shared" si="24"/>
        <v>933163</v>
      </c>
      <c r="AB23" s="494">
        <f t="shared" si="25"/>
        <v>27608</v>
      </c>
      <c r="AC23" s="492">
        <v>0</v>
      </c>
      <c r="AD23" s="789">
        <f t="shared" si="26"/>
        <v>3721609</v>
      </c>
      <c r="AE23" s="715">
        <v>0</v>
      </c>
      <c r="AF23" s="582">
        <v>6.6899999999999995</v>
      </c>
      <c r="AG23" s="326">
        <v>0</v>
      </c>
      <c r="AH23" s="326">
        <v>0</v>
      </c>
      <c r="AI23" s="326">
        <v>0</v>
      </c>
      <c r="AJ23" s="326">
        <v>0</v>
      </c>
      <c r="AK23" s="626">
        <f>SUM(AE23:AJ23)</f>
        <v>6.6899999999999995</v>
      </c>
      <c r="AL23" s="696">
        <f>I23+AD23</f>
        <v>3721609</v>
      </c>
      <c r="AM23" s="492">
        <f>J23+U23</f>
        <v>2760838</v>
      </c>
      <c r="AN23" s="492">
        <f>Y23</f>
        <v>0</v>
      </c>
      <c r="AO23" s="492">
        <f t="shared" si="27"/>
        <v>933163</v>
      </c>
      <c r="AP23" s="492">
        <f t="shared" si="27"/>
        <v>27608</v>
      </c>
      <c r="AQ23" s="492">
        <f t="shared" si="27"/>
        <v>0</v>
      </c>
      <c r="AR23" s="626">
        <f>N23+AK23</f>
        <v>6.6899999999999995</v>
      </c>
      <c r="AS23" s="240"/>
    </row>
    <row r="24" spans="1:45" ht="12.95" customHeight="1" x14ac:dyDescent="0.25">
      <c r="A24" s="205">
        <v>3</v>
      </c>
      <c r="B24" s="246">
        <v>5413</v>
      </c>
      <c r="C24" s="247">
        <v>600099334</v>
      </c>
      <c r="D24" s="246">
        <v>854697</v>
      </c>
      <c r="E24" s="273" t="s">
        <v>399</v>
      </c>
      <c r="F24" s="246">
        <v>3143</v>
      </c>
      <c r="G24" s="209" t="s">
        <v>794</v>
      </c>
      <c r="H24" s="209" t="s">
        <v>262</v>
      </c>
      <c r="I24" s="586">
        <f t="shared" si="20"/>
        <v>2452853</v>
      </c>
      <c r="J24" s="55">
        <v>1819624</v>
      </c>
      <c r="K24" s="55">
        <f t="shared" si="21"/>
        <v>615033</v>
      </c>
      <c r="L24" s="55">
        <f t="shared" si="28"/>
        <v>18196</v>
      </c>
      <c r="M24" s="325">
        <v>0</v>
      </c>
      <c r="N24" s="752">
        <v>3.4</v>
      </c>
      <c r="O24" s="440">
        <f>V24*-1</f>
        <v>0</v>
      </c>
      <c r="P24" s="578">
        <v>0</v>
      </c>
      <c r="Q24" s="325">
        <v>0</v>
      </c>
      <c r="R24" s="325">
        <v>0</v>
      </c>
      <c r="S24" s="325">
        <v>0</v>
      </c>
      <c r="T24" s="325">
        <v>0</v>
      </c>
      <c r="U24" s="492">
        <f>O24+P24+Q24+R24+S24+T24</f>
        <v>0</v>
      </c>
      <c r="V24" s="325">
        <v>0</v>
      </c>
      <c r="W24" s="325">
        <v>0</v>
      </c>
      <c r="X24" s="325">
        <v>0</v>
      </c>
      <c r="Y24" s="492">
        <f t="shared" si="22"/>
        <v>0</v>
      </c>
      <c r="Z24" s="492">
        <f t="shared" si="23"/>
        <v>0</v>
      </c>
      <c r="AA24" s="494">
        <f t="shared" si="24"/>
        <v>0</v>
      </c>
      <c r="AB24" s="494">
        <f t="shared" si="25"/>
        <v>0</v>
      </c>
      <c r="AC24" s="492">
        <v>0</v>
      </c>
      <c r="AD24" s="789">
        <f t="shared" si="26"/>
        <v>0</v>
      </c>
      <c r="AE24" s="715">
        <v>0</v>
      </c>
      <c r="AF24" s="582">
        <v>0</v>
      </c>
      <c r="AG24" s="326">
        <v>0</v>
      </c>
      <c r="AH24" s="326">
        <v>0</v>
      </c>
      <c r="AI24" s="326">
        <v>0</v>
      </c>
      <c r="AJ24" s="326">
        <v>0</v>
      </c>
      <c r="AK24" s="626">
        <f>SUM(AE24:AJ24)</f>
        <v>0</v>
      </c>
      <c r="AL24" s="696">
        <f>I24+AD24</f>
        <v>2452853</v>
      </c>
      <c r="AM24" s="492">
        <f>J24+U24</f>
        <v>1819624</v>
      </c>
      <c r="AN24" s="492">
        <f>Y24</f>
        <v>0</v>
      </c>
      <c r="AO24" s="492">
        <f t="shared" si="27"/>
        <v>615033</v>
      </c>
      <c r="AP24" s="492">
        <f t="shared" si="27"/>
        <v>18196</v>
      </c>
      <c r="AQ24" s="492">
        <f t="shared" si="27"/>
        <v>0</v>
      </c>
      <c r="AR24" s="626">
        <f>N24+AK24</f>
        <v>3.4</v>
      </c>
      <c r="AS24" s="240"/>
    </row>
    <row r="25" spans="1:45" ht="12.95" customHeight="1" x14ac:dyDescent="0.25">
      <c r="A25" s="205">
        <v>3</v>
      </c>
      <c r="B25" s="246">
        <v>5413</v>
      </c>
      <c r="C25" s="247">
        <v>600099334</v>
      </c>
      <c r="D25" s="246">
        <v>854697</v>
      </c>
      <c r="E25" s="273" t="s">
        <v>399</v>
      </c>
      <c r="F25" s="246">
        <v>3143</v>
      </c>
      <c r="G25" s="270" t="s">
        <v>400</v>
      </c>
      <c r="H25" s="209" t="s">
        <v>263</v>
      </c>
      <c r="I25" s="586">
        <f t="shared" si="20"/>
        <v>354511</v>
      </c>
      <c r="J25" s="678">
        <v>262990</v>
      </c>
      <c r="K25" s="55">
        <f t="shared" si="21"/>
        <v>88891</v>
      </c>
      <c r="L25" s="55">
        <f t="shared" si="28"/>
        <v>2630</v>
      </c>
      <c r="M25" s="325">
        <v>0</v>
      </c>
      <c r="N25" s="752">
        <v>0.49</v>
      </c>
      <c r="O25" s="440">
        <f>V25*-1</f>
        <v>0</v>
      </c>
      <c r="P25" s="578">
        <v>0</v>
      </c>
      <c r="Q25" s="325">
        <v>0</v>
      </c>
      <c r="R25" s="325">
        <v>0</v>
      </c>
      <c r="S25" s="325">
        <v>0</v>
      </c>
      <c r="T25" s="325">
        <v>0</v>
      </c>
      <c r="U25" s="492">
        <f>O25+P25+Q25+R25+S25+T25</f>
        <v>0</v>
      </c>
      <c r="V25" s="325">
        <v>0</v>
      </c>
      <c r="W25" s="325">
        <v>0</v>
      </c>
      <c r="X25" s="325">
        <v>0</v>
      </c>
      <c r="Y25" s="492">
        <f t="shared" si="22"/>
        <v>0</v>
      </c>
      <c r="Z25" s="492">
        <f t="shared" si="23"/>
        <v>0</v>
      </c>
      <c r="AA25" s="494">
        <f t="shared" si="24"/>
        <v>0</v>
      </c>
      <c r="AB25" s="494">
        <f t="shared" si="25"/>
        <v>0</v>
      </c>
      <c r="AC25" s="492">
        <v>0</v>
      </c>
      <c r="AD25" s="789">
        <f t="shared" si="26"/>
        <v>0</v>
      </c>
      <c r="AE25" s="715">
        <v>0</v>
      </c>
      <c r="AF25" s="582">
        <v>0</v>
      </c>
      <c r="AG25" s="326">
        <v>0</v>
      </c>
      <c r="AH25" s="326">
        <v>0</v>
      </c>
      <c r="AI25" s="326">
        <v>0</v>
      </c>
      <c r="AJ25" s="326">
        <v>0</v>
      </c>
      <c r="AK25" s="626">
        <f>SUM(AE25:AJ25)</f>
        <v>0</v>
      </c>
      <c r="AL25" s="696">
        <f>I25+AD25</f>
        <v>354511</v>
      </c>
      <c r="AM25" s="492">
        <f>J25+U25</f>
        <v>262990</v>
      </c>
      <c r="AN25" s="492">
        <f>Y25</f>
        <v>0</v>
      </c>
      <c r="AO25" s="492">
        <f t="shared" si="27"/>
        <v>88891</v>
      </c>
      <c r="AP25" s="492">
        <f t="shared" si="27"/>
        <v>2630</v>
      </c>
      <c r="AQ25" s="492">
        <f t="shared" si="27"/>
        <v>0</v>
      </c>
      <c r="AR25" s="626">
        <f>N25+AK25</f>
        <v>0.49</v>
      </c>
      <c r="AS25" s="240"/>
    </row>
    <row r="26" spans="1:45" ht="12.95" customHeight="1" x14ac:dyDescent="0.25">
      <c r="A26" s="198">
        <v>3</v>
      </c>
      <c r="B26" s="250">
        <v>5413</v>
      </c>
      <c r="C26" s="251">
        <v>600099334</v>
      </c>
      <c r="D26" s="250">
        <v>854697</v>
      </c>
      <c r="E26" s="274" t="s">
        <v>401</v>
      </c>
      <c r="F26" s="250"/>
      <c r="G26" s="275"/>
      <c r="H26" s="568"/>
      <c r="I26" s="664">
        <f>SUM(I21:I25)</f>
        <v>28843355</v>
      </c>
      <c r="J26" s="664">
        <f t="shared" ref="J26:AR26" si="29">SUM(J21:J25)</f>
        <v>21397147</v>
      </c>
      <c r="K26" s="664">
        <f t="shared" si="29"/>
        <v>7232236</v>
      </c>
      <c r="L26" s="664">
        <f t="shared" si="29"/>
        <v>213972</v>
      </c>
      <c r="M26" s="355">
        <f t="shared" ref="M26" si="30">SUM(M21:M25)</f>
        <v>0</v>
      </c>
      <c r="N26" s="755">
        <f t="shared" si="29"/>
        <v>30.554099999999998</v>
      </c>
      <c r="O26" s="442">
        <f t="shared" si="29"/>
        <v>-36000</v>
      </c>
      <c r="P26" s="442">
        <f t="shared" si="29"/>
        <v>2760838</v>
      </c>
      <c r="Q26" s="355">
        <f t="shared" si="29"/>
        <v>0</v>
      </c>
      <c r="R26" s="355">
        <f t="shared" si="29"/>
        <v>0</v>
      </c>
      <c r="S26" s="355">
        <f t="shared" si="29"/>
        <v>0</v>
      </c>
      <c r="T26" s="355">
        <f t="shared" si="29"/>
        <v>0</v>
      </c>
      <c r="U26" s="355">
        <f t="shared" si="29"/>
        <v>2724838</v>
      </c>
      <c r="V26" s="355">
        <f t="shared" si="29"/>
        <v>36000</v>
      </c>
      <c r="W26" s="355">
        <f t="shared" si="29"/>
        <v>0</v>
      </c>
      <c r="X26" s="355">
        <f t="shared" si="29"/>
        <v>0</v>
      </c>
      <c r="Y26" s="355">
        <f t="shared" si="29"/>
        <v>36000</v>
      </c>
      <c r="Z26" s="355">
        <f t="shared" si="29"/>
        <v>2760838</v>
      </c>
      <c r="AA26" s="355">
        <f t="shared" si="29"/>
        <v>933163</v>
      </c>
      <c r="AB26" s="355">
        <f t="shared" si="29"/>
        <v>27248</v>
      </c>
      <c r="AC26" s="355">
        <f t="shared" si="29"/>
        <v>0</v>
      </c>
      <c r="AD26" s="683">
        <f t="shared" si="29"/>
        <v>3721249</v>
      </c>
      <c r="AE26" s="839">
        <f t="shared" si="29"/>
        <v>-0.02</v>
      </c>
      <c r="AF26" s="356">
        <f t="shared" si="29"/>
        <v>6.6899999999999995</v>
      </c>
      <c r="AG26" s="356">
        <f t="shared" si="29"/>
        <v>0</v>
      </c>
      <c r="AH26" s="356">
        <f t="shared" si="29"/>
        <v>0</v>
      </c>
      <c r="AI26" s="356">
        <f t="shared" si="29"/>
        <v>0</v>
      </c>
      <c r="AJ26" s="356">
        <f t="shared" si="29"/>
        <v>0</v>
      </c>
      <c r="AK26" s="253">
        <f t="shared" si="29"/>
        <v>6.67</v>
      </c>
      <c r="AL26" s="686">
        <f t="shared" si="29"/>
        <v>32564604</v>
      </c>
      <c r="AM26" s="442">
        <f t="shared" si="29"/>
        <v>24121985</v>
      </c>
      <c r="AN26" s="355">
        <f t="shared" si="29"/>
        <v>36000</v>
      </c>
      <c r="AO26" s="355">
        <f t="shared" si="29"/>
        <v>8165399</v>
      </c>
      <c r="AP26" s="355">
        <f t="shared" si="29"/>
        <v>241220</v>
      </c>
      <c r="AQ26" s="355">
        <f t="shared" si="29"/>
        <v>0</v>
      </c>
      <c r="AR26" s="253">
        <f t="shared" si="29"/>
        <v>37.2241</v>
      </c>
      <c r="AS26" s="240"/>
    </row>
    <row r="27" spans="1:45" ht="12.95" customHeight="1" x14ac:dyDescent="0.25">
      <c r="A27" s="205">
        <v>4</v>
      </c>
      <c r="B27" s="246">
        <v>5475</v>
      </c>
      <c r="C27" s="247">
        <v>600099385</v>
      </c>
      <c r="D27" s="246">
        <v>854735</v>
      </c>
      <c r="E27" s="273" t="s">
        <v>402</v>
      </c>
      <c r="F27" s="246">
        <v>3231</v>
      </c>
      <c r="G27" s="270" t="s">
        <v>383</v>
      </c>
      <c r="H27" s="209" t="s">
        <v>262</v>
      </c>
      <c r="I27" s="586">
        <f>SUM(J27:M27)</f>
        <v>15034490</v>
      </c>
      <c r="J27" s="678">
        <v>11153182</v>
      </c>
      <c r="K27" s="55">
        <f>ROUND(J27*33.8%,0)</f>
        <v>3769776</v>
      </c>
      <c r="L27" s="55">
        <f>ROUND(J27*1%,0)</f>
        <v>111532</v>
      </c>
      <c r="M27" s="325">
        <v>0</v>
      </c>
      <c r="N27" s="752">
        <v>16.735099999999999</v>
      </c>
      <c r="O27" s="445">
        <f>V27*-1</f>
        <v>0</v>
      </c>
      <c r="P27" s="578">
        <v>0</v>
      </c>
      <c r="Q27" s="325">
        <v>0</v>
      </c>
      <c r="R27" s="325">
        <v>0</v>
      </c>
      <c r="S27" s="325">
        <v>0</v>
      </c>
      <c r="T27" s="325">
        <v>0</v>
      </c>
      <c r="U27" s="492">
        <f>O27+P27+Q27+R27+S27+T27</f>
        <v>0</v>
      </c>
      <c r="V27" s="325">
        <v>0</v>
      </c>
      <c r="W27" s="325">
        <v>0</v>
      </c>
      <c r="X27" s="325">
        <v>0</v>
      </c>
      <c r="Y27" s="492">
        <f>V27+W27+X27</f>
        <v>0</v>
      </c>
      <c r="Z27" s="492">
        <f>U27+Y27</f>
        <v>0</v>
      </c>
      <c r="AA27" s="494">
        <f>ROUND((U27+Y27)*33.8%,0)</f>
        <v>0</v>
      </c>
      <c r="AB27" s="494">
        <f>ROUND(U27*1%,0)</f>
        <v>0</v>
      </c>
      <c r="AC27" s="492">
        <v>0</v>
      </c>
      <c r="AD27" s="789">
        <f>Z27+AA27+AB27+AC27</f>
        <v>0</v>
      </c>
      <c r="AE27" s="715">
        <v>0</v>
      </c>
      <c r="AF27" s="582">
        <v>0</v>
      </c>
      <c r="AG27" s="326">
        <v>0</v>
      </c>
      <c r="AH27" s="326">
        <v>0</v>
      </c>
      <c r="AI27" s="326">
        <v>0</v>
      </c>
      <c r="AJ27" s="326">
        <v>0</v>
      </c>
      <c r="AK27" s="626">
        <f>SUM(AE27:AJ27)</f>
        <v>0</v>
      </c>
      <c r="AL27" s="696">
        <f>I27+AD27</f>
        <v>15034490</v>
      </c>
      <c r="AM27" s="492">
        <f>J27+U27</f>
        <v>11153182</v>
      </c>
      <c r="AN27" s="492">
        <f>Y27</f>
        <v>0</v>
      </c>
      <c r="AO27" s="492">
        <f>K27+AA27</f>
        <v>3769776</v>
      </c>
      <c r="AP27" s="492">
        <f>L27+AB27</f>
        <v>111532</v>
      </c>
      <c r="AQ27" s="492">
        <f>M27+AC27</f>
        <v>0</v>
      </c>
      <c r="AR27" s="626">
        <f>N27+AK27</f>
        <v>16.735099999999999</v>
      </c>
      <c r="AS27" s="240"/>
    </row>
    <row r="28" spans="1:45" ht="12.95" customHeight="1" x14ac:dyDescent="0.25">
      <c r="A28" s="198">
        <v>4</v>
      </c>
      <c r="B28" s="250">
        <v>5475</v>
      </c>
      <c r="C28" s="251">
        <v>600099385</v>
      </c>
      <c r="D28" s="250">
        <v>854735</v>
      </c>
      <c r="E28" s="274" t="s">
        <v>403</v>
      </c>
      <c r="F28" s="250"/>
      <c r="G28" s="275"/>
      <c r="H28" s="568"/>
      <c r="I28" s="664">
        <f t="shared" ref="I28:AR28" si="31">SUM(I27)</f>
        <v>15034490</v>
      </c>
      <c r="J28" s="679">
        <f t="shared" si="31"/>
        <v>11153182</v>
      </c>
      <c r="K28" s="355">
        <f t="shared" si="31"/>
        <v>3769776</v>
      </c>
      <c r="L28" s="355">
        <f t="shared" si="31"/>
        <v>111532</v>
      </c>
      <c r="M28" s="355">
        <f t="shared" ref="M28" si="32">SUM(M27)</f>
        <v>0</v>
      </c>
      <c r="N28" s="753">
        <f t="shared" si="31"/>
        <v>16.735099999999999</v>
      </c>
      <c r="O28" s="442">
        <f t="shared" si="31"/>
        <v>0</v>
      </c>
      <c r="P28" s="442">
        <f t="shared" si="31"/>
        <v>0</v>
      </c>
      <c r="Q28" s="355">
        <f t="shared" si="31"/>
        <v>0</v>
      </c>
      <c r="R28" s="355">
        <f t="shared" si="31"/>
        <v>0</v>
      </c>
      <c r="S28" s="355">
        <f t="shared" si="31"/>
        <v>0</v>
      </c>
      <c r="T28" s="355">
        <f t="shared" si="31"/>
        <v>0</v>
      </c>
      <c r="U28" s="355">
        <f t="shared" si="31"/>
        <v>0</v>
      </c>
      <c r="V28" s="355">
        <f t="shared" si="31"/>
        <v>0</v>
      </c>
      <c r="W28" s="355">
        <f t="shared" si="31"/>
        <v>0</v>
      </c>
      <c r="X28" s="355">
        <f t="shared" si="31"/>
        <v>0</v>
      </c>
      <c r="Y28" s="355">
        <f t="shared" si="31"/>
        <v>0</v>
      </c>
      <c r="Z28" s="355">
        <f t="shared" si="31"/>
        <v>0</v>
      </c>
      <c r="AA28" s="355">
        <f t="shared" si="31"/>
        <v>0</v>
      </c>
      <c r="AB28" s="355">
        <f t="shared" si="31"/>
        <v>0</v>
      </c>
      <c r="AC28" s="355">
        <f t="shared" si="31"/>
        <v>0</v>
      </c>
      <c r="AD28" s="683">
        <f t="shared" si="31"/>
        <v>0</v>
      </c>
      <c r="AE28" s="839">
        <f t="shared" si="31"/>
        <v>0</v>
      </c>
      <c r="AF28" s="356">
        <f t="shared" si="31"/>
        <v>0</v>
      </c>
      <c r="AG28" s="356">
        <f t="shared" si="31"/>
        <v>0</v>
      </c>
      <c r="AH28" s="356">
        <f t="shared" si="31"/>
        <v>0</v>
      </c>
      <c r="AI28" s="356">
        <f t="shared" si="31"/>
        <v>0</v>
      </c>
      <c r="AJ28" s="356">
        <f t="shared" si="31"/>
        <v>0</v>
      </c>
      <c r="AK28" s="253">
        <f t="shared" si="31"/>
        <v>0</v>
      </c>
      <c r="AL28" s="686">
        <f t="shared" si="31"/>
        <v>15034490</v>
      </c>
      <c r="AM28" s="442">
        <f t="shared" si="31"/>
        <v>11153182</v>
      </c>
      <c r="AN28" s="355">
        <f t="shared" si="31"/>
        <v>0</v>
      </c>
      <c r="AO28" s="355">
        <f t="shared" si="31"/>
        <v>3769776</v>
      </c>
      <c r="AP28" s="355">
        <f t="shared" si="31"/>
        <v>111532</v>
      </c>
      <c r="AQ28" s="355">
        <f t="shared" si="31"/>
        <v>0</v>
      </c>
      <c r="AR28" s="253">
        <f t="shared" si="31"/>
        <v>16.735099999999999</v>
      </c>
      <c r="AS28" s="240"/>
    </row>
    <row r="29" spans="1:45" ht="12.95" customHeight="1" x14ac:dyDescent="0.25">
      <c r="A29" s="205">
        <v>5</v>
      </c>
      <c r="B29" s="246">
        <v>5402</v>
      </c>
      <c r="C29" s="247">
        <v>600098958</v>
      </c>
      <c r="D29" s="246">
        <v>70983623</v>
      </c>
      <c r="E29" s="273" t="s">
        <v>781</v>
      </c>
      <c r="F29" s="246">
        <v>3111</v>
      </c>
      <c r="G29" s="270" t="s">
        <v>290</v>
      </c>
      <c r="H29" s="209" t="s">
        <v>262</v>
      </c>
      <c r="I29" s="586">
        <f t="shared" ref="I29:I32" si="33">SUM(J29:M29)</f>
        <v>1685911</v>
      </c>
      <c r="J29" s="678">
        <v>1250676</v>
      </c>
      <c r="K29" s="55">
        <f t="shared" ref="K29:K32" si="34">ROUND(J29*33.8%,0)</f>
        <v>422728</v>
      </c>
      <c r="L29" s="55">
        <f t="shared" ref="L29:L32" si="35">ROUND(J29*1%,0)</f>
        <v>12507</v>
      </c>
      <c r="M29" s="325">
        <v>0</v>
      </c>
      <c r="N29" s="752">
        <v>2</v>
      </c>
      <c r="O29" s="445">
        <f t="shared" ref="O29:O32" si="36">V29*-1</f>
        <v>-6000</v>
      </c>
      <c r="P29" s="578">
        <v>0</v>
      </c>
      <c r="Q29" s="325">
        <v>0</v>
      </c>
      <c r="R29" s="325">
        <v>0</v>
      </c>
      <c r="S29" s="325">
        <v>0</v>
      </c>
      <c r="T29" s="325">
        <v>0</v>
      </c>
      <c r="U29" s="492">
        <f>O29+P29+Q29+R29+S29+T29</f>
        <v>-6000</v>
      </c>
      <c r="V29" s="325">
        <v>6000</v>
      </c>
      <c r="W29" s="325">
        <v>0</v>
      </c>
      <c r="X29" s="325">
        <v>0</v>
      </c>
      <c r="Y29" s="492">
        <f t="shared" ref="Y29:Y32" si="37">V29+W29+X29</f>
        <v>6000</v>
      </c>
      <c r="Z29" s="492">
        <f t="shared" ref="Z29:Z32" si="38">U29+Y29</f>
        <v>0</v>
      </c>
      <c r="AA29" s="494">
        <f t="shared" ref="AA29:AA32" si="39">ROUND((U29+Y29)*33.8%,0)</f>
        <v>0</v>
      </c>
      <c r="AB29" s="494">
        <f t="shared" ref="AB29:AB32" si="40">ROUND(U29*1%,0)</f>
        <v>-60</v>
      </c>
      <c r="AC29" s="492">
        <v>0</v>
      </c>
      <c r="AD29" s="789">
        <f t="shared" ref="AD29:AD32" si="41">Z29+AA29+AB29+AC29</f>
        <v>-60</v>
      </c>
      <c r="AE29" s="715">
        <v>0</v>
      </c>
      <c r="AF29" s="582">
        <v>0</v>
      </c>
      <c r="AG29" s="326">
        <v>0</v>
      </c>
      <c r="AH29" s="326">
        <v>0</v>
      </c>
      <c r="AI29" s="326">
        <v>0</v>
      </c>
      <c r="AJ29" s="326">
        <v>0</v>
      </c>
      <c r="AK29" s="626">
        <f>SUM(AE29:AJ29)</f>
        <v>0</v>
      </c>
      <c r="AL29" s="696">
        <f>I29+AD29</f>
        <v>1685851</v>
      </c>
      <c r="AM29" s="492">
        <f>J29+U29</f>
        <v>1244676</v>
      </c>
      <c r="AN29" s="492">
        <f>Y29</f>
        <v>6000</v>
      </c>
      <c r="AO29" s="492">
        <f t="shared" ref="AO29:AQ32" si="42">K29+AA29</f>
        <v>422728</v>
      </c>
      <c r="AP29" s="492">
        <f t="shared" si="42"/>
        <v>12447</v>
      </c>
      <c r="AQ29" s="492">
        <f t="shared" si="42"/>
        <v>0</v>
      </c>
      <c r="AR29" s="626">
        <f>N29+AK29</f>
        <v>2</v>
      </c>
      <c r="AS29" s="240"/>
    </row>
    <row r="30" spans="1:45" ht="12.95" customHeight="1" x14ac:dyDescent="0.25">
      <c r="A30" s="205">
        <v>5</v>
      </c>
      <c r="B30" s="246">
        <v>5402</v>
      </c>
      <c r="C30" s="247">
        <v>600098958</v>
      </c>
      <c r="D30" s="246">
        <v>70983623</v>
      </c>
      <c r="E30" s="273" t="s">
        <v>764</v>
      </c>
      <c r="F30" s="246">
        <v>3117</v>
      </c>
      <c r="G30" s="270" t="s">
        <v>294</v>
      </c>
      <c r="H30" s="209" t="s">
        <v>262</v>
      </c>
      <c r="I30" s="586">
        <f t="shared" si="33"/>
        <v>4208919</v>
      </c>
      <c r="J30" s="678">
        <v>3122343</v>
      </c>
      <c r="K30" s="55">
        <f>ROUND(J30*33.8%,0)+1</f>
        <v>1055353</v>
      </c>
      <c r="L30" s="55">
        <f t="shared" si="35"/>
        <v>31223</v>
      </c>
      <c r="M30" s="325">
        <v>0</v>
      </c>
      <c r="N30" s="752">
        <v>4.9090999999999996</v>
      </c>
      <c r="O30" s="440">
        <f t="shared" si="36"/>
        <v>-6000</v>
      </c>
      <c r="P30" s="578">
        <v>0</v>
      </c>
      <c r="Q30" s="325">
        <v>0</v>
      </c>
      <c r="R30" s="325">
        <v>0</v>
      </c>
      <c r="S30" s="325">
        <v>0</v>
      </c>
      <c r="T30" s="325">
        <v>0</v>
      </c>
      <c r="U30" s="492">
        <f>O30+P30+Q30+R30+S30+T30</f>
        <v>-6000</v>
      </c>
      <c r="V30" s="325">
        <v>6000</v>
      </c>
      <c r="W30" s="325">
        <v>0</v>
      </c>
      <c r="X30" s="325">
        <v>0</v>
      </c>
      <c r="Y30" s="492">
        <f t="shared" si="37"/>
        <v>6000</v>
      </c>
      <c r="Z30" s="492">
        <f t="shared" si="38"/>
        <v>0</v>
      </c>
      <c r="AA30" s="494">
        <f t="shared" si="39"/>
        <v>0</v>
      </c>
      <c r="AB30" s="494">
        <f t="shared" si="40"/>
        <v>-60</v>
      </c>
      <c r="AC30" s="492">
        <v>0</v>
      </c>
      <c r="AD30" s="789">
        <f t="shared" si="41"/>
        <v>-60</v>
      </c>
      <c r="AE30" s="715">
        <v>0</v>
      </c>
      <c r="AF30" s="582">
        <v>0</v>
      </c>
      <c r="AG30" s="326">
        <v>0</v>
      </c>
      <c r="AH30" s="326">
        <v>0</v>
      </c>
      <c r="AI30" s="326">
        <v>0</v>
      </c>
      <c r="AJ30" s="326">
        <v>0</v>
      </c>
      <c r="AK30" s="626">
        <f>SUM(AE30:AJ30)</f>
        <v>0</v>
      </c>
      <c r="AL30" s="696">
        <f>I30+AD30</f>
        <v>4208859</v>
      </c>
      <c r="AM30" s="492">
        <f>J30+U30</f>
        <v>3116343</v>
      </c>
      <c r="AN30" s="492">
        <f>Y30</f>
        <v>6000</v>
      </c>
      <c r="AO30" s="492">
        <f t="shared" si="42"/>
        <v>1055353</v>
      </c>
      <c r="AP30" s="492">
        <f t="shared" si="42"/>
        <v>31163</v>
      </c>
      <c r="AQ30" s="492">
        <f t="shared" si="42"/>
        <v>0</v>
      </c>
      <c r="AR30" s="626">
        <f>N30+AK30</f>
        <v>4.9090999999999996</v>
      </c>
      <c r="AS30" s="240"/>
    </row>
    <row r="31" spans="1:45" ht="12.95" customHeight="1" x14ac:dyDescent="0.25">
      <c r="A31" s="205">
        <v>5</v>
      </c>
      <c r="B31" s="246">
        <v>5402</v>
      </c>
      <c r="C31" s="247">
        <v>600098958</v>
      </c>
      <c r="D31" s="246">
        <v>70983623</v>
      </c>
      <c r="E31" s="273" t="s">
        <v>764</v>
      </c>
      <c r="F31" s="246">
        <v>3117</v>
      </c>
      <c r="G31" s="209" t="s">
        <v>278</v>
      </c>
      <c r="H31" s="209" t="s">
        <v>263</v>
      </c>
      <c r="I31" s="586">
        <f t="shared" si="33"/>
        <v>0</v>
      </c>
      <c r="J31" s="678"/>
      <c r="K31" s="55">
        <f t="shared" si="34"/>
        <v>0</v>
      </c>
      <c r="L31" s="55">
        <f t="shared" si="35"/>
        <v>0</v>
      </c>
      <c r="M31" s="325">
        <v>0</v>
      </c>
      <c r="N31" s="752"/>
      <c r="O31" s="440">
        <f t="shared" si="36"/>
        <v>0</v>
      </c>
      <c r="P31" s="578">
        <v>412722</v>
      </c>
      <c r="Q31" s="325">
        <v>0</v>
      </c>
      <c r="R31" s="325">
        <v>0</v>
      </c>
      <c r="S31" s="325">
        <v>0</v>
      </c>
      <c r="T31" s="325">
        <v>0</v>
      </c>
      <c r="U31" s="492">
        <f>O31+P31+Q31+R31+S31+T31</f>
        <v>412722</v>
      </c>
      <c r="V31" s="325">
        <v>0</v>
      </c>
      <c r="W31" s="325">
        <v>0</v>
      </c>
      <c r="X31" s="325">
        <v>0</v>
      </c>
      <c r="Y31" s="492">
        <f t="shared" si="37"/>
        <v>0</v>
      </c>
      <c r="Z31" s="492">
        <f t="shared" si="38"/>
        <v>412722</v>
      </c>
      <c r="AA31" s="494">
        <f t="shared" si="39"/>
        <v>139500</v>
      </c>
      <c r="AB31" s="494">
        <f t="shared" si="40"/>
        <v>4127</v>
      </c>
      <c r="AC31" s="492">
        <v>0</v>
      </c>
      <c r="AD31" s="789">
        <f t="shared" si="41"/>
        <v>556349</v>
      </c>
      <c r="AE31" s="715">
        <v>0</v>
      </c>
      <c r="AF31" s="582">
        <v>1.1400000000000001</v>
      </c>
      <c r="AG31" s="326">
        <v>0</v>
      </c>
      <c r="AH31" s="326">
        <v>0</v>
      </c>
      <c r="AI31" s="326">
        <v>0</v>
      </c>
      <c r="AJ31" s="326">
        <v>0</v>
      </c>
      <c r="AK31" s="626">
        <f>SUM(AE31:AJ31)</f>
        <v>1.1400000000000001</v>
      </c>
      <c r="AL31" s="696">
        <f>I31+AD31</f>
        <v>556349</v>
      </c>
      <c r="AM31" s="492">
        <f>J31+U31</f>
        <v>412722</v>
      </c>
      <c r="AN31" s="492">
        <f>Y31</f>
        <v>0</v>
      </c>
      <c r="AO31" s="492">
        <f t="shared" si="42"/>
        <v>139500</v>
      </c>
      <c r="AP31" s="492">
        <f t="shared" si="42"/>
        <v>4127</v>
      </c>
      <c r="AQ31" s="492">
        <f t="shared" si="42"/>
        <v>0</v>
      </c>
      <c r="AR31" s="626">
        <f>N31+AK31</f>
        <v>1.1400000000000001</v>
      </c>
      <c r="AS31" s="240"/>
    </row>
    <row r="32" spans="1:45" ht="12.95" customHeight="1" x14ac:dyDescent="0.25">
      <c r="A32" s="205">
        <v>5</v>
      </c>
      <c r="B32" s="246">
        <v>5402</v>
      </c>
      <c r="C32" s="247">
        <v>600098958</v>
      </c>
      <c r="D32" s="246">
        <v>70983623</v>
      </c>
      <c r="E32" s="273" t="s">
        <v>764</v>
      </c>
      <c r="F32" s="246">
        <v>3143</v>
      </c>
      <c r="G32" s="209" t="s">
        <v>794</v>
      </c>
      <c r="H32" s="209" t="s">
        <v>262</v>
      </c>
      <c r="I32" s="586">
        <f t="shared" si="33"/>
        <v>1422691</v>
      </c>
      <c r="J32" s="678">
        <v>1055409</v>
      </c>
      <c r="K32" s="55">
        <f t="shared" si="34"/>
        <v>356728</v>
      </c>
      <c r="L32" s="55">
        <f t="shared" si="35"/>
        <v>10554</v>
      </c>
      <c r="M32" s="325">
        <v>0</v>
      </c>
      <c r="N32" s="752">
        <v>2.0177</v>
      </c>
      <c r="O32" s="440">
        <f t="shared" si="36"/>
        <v>-6000</v>
      </c>
      <c r="P32" s="578">
        <v>0</v>
      </c>
      <c r="Q32" s="325">
        <v>0</v>
      </c>
      <c r="R32" s="325">
        <v>0</v>
      </c>
      <c r="S32" s="325">
        <v>0</v>
      </c>
      <c r="T32" s="325">
        <v>0</v>
      </c>
      <c r="U32" s="492">
        <f>O32+P32+Q32+R32+S32+T32</f>
        <v>-6000</v>
      </c>
      <c r="V32" s="325">
        <v>6000</v>
      </c>
      <c r="W32" s="325">
        <v>0</v>
      </c>
      <c r="X32" s="325">
        <v>0</v>
      </c>
      <c r="Y32" s="492">
        <f t="shared" si="37"/>
        <v>6000</v>
      </c>
      <c r="Z32" s="492">
        <f t="shared" si="38"/>
        <v>0</v>
      </c>
      <c r="AA32" s="494">
        <f t="shared" si="39"/>
        <v>0</v>
      </c>
      <c r="AB32" s="494">
        <f t="shared" si="40"/>
        <v>-60</v>
      </c>
      <c r="AC32" s="492">
        <v>0</v>
      </c>
      <c r="AD32" s="789">
        <f t="shared" si="41"/>
        <v>-60</v>
      </c>
      <c r="AE32" s="715">
        <v>0</v>
      </c>
      <c r="AF32" s="582">
        <v>0</v>
      </c>
      <c r="AG32" s="326">
        <v>0</v>
      </c>
      <c r="AH32" s="326">
        <v>0</v>
      </c>
      <c r="AI32" s="326">
        <v>0</v>
      </c>
      <c r="AJ32" s="326">
        <v>0</v>
      </c>
      <c r="AK32" s="626">
        <f>SUM(AE32:AJ32)</f>
        <v>0</v>
      </c>
      <c r="AL32" s="696">
        <f>I32+AD32</f>
        <v>1422631</v>
      </c>
      <c r="AM32" s="492">
        <f>J32+U32</f>
        <v>1049409</v>
      </c>
      <c r="AN32" s="492">
        <f>Y32</f>
        <v>6000</v>
      </c>
      <c r="AO32" s="492">
        <f t="shared" si="42"/>
        <v>356728</v>
      </c>
      <c r="AP32" s="492">
        <f t="shared" si="42"/>
        <v>10494</v>
      </c>
      <c r="AQ32" s="492">
        <f t="shared" si="42"/>
        <v>0</v>
      </c>
      <c r="AR32" s="626">
        <f>N32+AK32</f>
        <v>2.0177</v>
      </c>
      <c r="AS32" s="240"/>
    </row>
    <row r="33" spans="1:45" ht="12.95" customHeight="1" x14ac:dyDescent="0.25">
      <c r="A33" s="198">
        <v>5</v>
      </c>
      <c r="B33" s="250">
        <v>5402</v>
      </c>
      <c r="C33" s="251">
        <v>600098958</v>
      </c>
      <c r="D33" s="250">
        <v>70983623</v>
      </c>
      <c r="E33" s="274" t="s">
        <v>765</v>
      </c>
      <c r="F33" s="250"/>
      <c r="G33" s="275"/>
      <c r="H33" s="568"/>
      <c r="I33" s="665">
        <f t="shared" ref="I33:AR33" si="43">SUM(I29:I32)</f>
        <v>7317521</v>
      </c>
      <c r="J33" s="680">
        <f t="shared" si="43"/>
        <v>5428428</v>
      </c>
      <c r="K33" s="357">
        <f t="shared" si="43"/>
        <v>1834809</v>
      </c>
      <c r="L33" s="357">
        <f t="shared" si="43"/>
        <v>54284</v>
      </c>
      <c r="M33" s="357">
        <f t="shared" ref="M33" si="44">SUM(M29:M32)</f>
        <v>0</v>
      </c>
      <c r="N33" s="756">
        <f t="shared" si="43"/>
        <v>8.9268000000000001</v>
      </c>
      <c r="O33" s="443">
        <f t="shared" si="43"/>
        <v>-18000</v>
      </c>
      <c r="P33" s="443">
        <f t="shared" si="43"/>
        <v>412722</v>
      </c>
      <c r="Q33" s="357">
        <f t="shared" si="43"/>
        <v>0</v>
      </c>
      <c r="R33" s="357">
        <f t="shared" si="43"/>
        <v>0</v>
      </c>
      <c r="S33" s="357">
        <f t="shared" si="43"/>
        <v>0</v>
      </c>
      <c r="T33" s="357">
        <f t="shared" si="43"/>
        <v>0</v>
      </c>
      <c r="U33" s="357">
        <f t="shared" si="43"/>
        <v>394722</v>
      </c>
      <c r="V33" s="357">
        <f t="shared" si="43"/>
        <v>18000</v>
      </c>
      <c r="W33" s="357">
        <f t="shared" si="43"/>
        <v>0</v>
      </c>
      <c r="X33" s="357">
        <f t="shared" si="43"/>
        <v>0</v>
      </c>
      <c r="Y33" s="357">
        <f t="shared" si="43"/>
        <v>18000</v>
      </c>
      <c r="Z33" s="357">
        <f t="shared" si="43"/>
        <v>412722</v>
      </c>
      <c r="AA33" s="357">
        <f t="shared" si="43"/>
        <v>139500</v>
      </c>
      <c r="AB33" s="357">
        <f t="shared" si="43"/>
        <v>3947</v>
      </c>
      <c r="AC33" s="357">
        <f t="shared" si="43"/>
        <v>0</v>
      </c>
      <c r="AD33" s="684">
        <f t="shared" si="43"/>
        <v>556169</v>
      </c>
      <c r="AE33" s="840">
        <f t="shared" si="43"/>
        <v>0</v>
      </c>
      <c r="AF33" s="358">
        <f t="shared" si="43"/>
        <v>1.1400000000000001</v>
      </c>
      <c r="AG33" s="358">
        <f t="shared" si="43"/>
        <v>0</v>
      </c>
      <c r="AH33" s="358">
        <f t="shared" si="43"/>
        <v>0</v>
      </c>
      <c r="AI33" s="358">
        <f t="shared" si="43"/>
        <v>0</v>
      </c>
      <c r="AJ33" s="358">
        <f t="shared" si="43"/>
        <v>0</v>
      </c>
      <c r="AK33" s="258">
        <f t="shared" si="43"/>
        <v>1.1400000000000001</v>
      </c>
      <c r="AL33" s="687">
        <f t="shared" si="43"/>
        <v>7873690</v>
      </c>
      <c r="AM33" s="443">
        <f t="shared" si="43"/>
        <v>5823150</v>
      </c>
      <c r="AN33" s="357">
        <f t="shared" si="43"/>
        <v>18000</v>
      </c>
      <c r="AO33" s="357">
        <f t="shared" si="43"/>
        <v>1974309</v>
      </c>
      <c r="AP33" s="357">
        <f t="shared" si="43"/>
        <v>58231</v>
      </c>
      <c r="AQ33" s="357">
        <f t="shared" si="43"/>
        <v>0</v>
      </c>
      <c r="AR33" s="258">
        <f t="shared" si="43"/>
        <v>10.066799999999999</v>
      </c>
      <c r="AS33" s="240"/>
    </row>
    <row r="34" spans="1:45" ht="12.95" customHeight="1" x14ac:dyDescent="0.25">
      <c r="A34" s="205">
        <v>6</v>
      </c>
      <c r="B34" s="206">
        <v>5405</v>
      </c>
      <c r="C34" s="255">
        <v>600099121</v>
      </c>
      <c r="D34" s="206">
        <v>70695521</v>
      </c>
      <c r="E34" s="208" t="s">
        <v>404</v>
      </c>
      <c r="F34" s="206">
        <v>3111</v>
      </c>
      <c r="G34" s="270" t="s">
        <v>290</v>
      </c>
      <c r="H34" s="209" t="s">
        <v>262</v>
      </c>
      <c r="I34" s="586">
        <f t="shared" ref="I34:I37" si="45">SUM(J34:M34)</f>
        <v>1617557</v>
      </c>
      <c r="J34" s="678">
        <v>1199968</v>
      </c>
      <c r="K34" s="55">
        <f t="shared" ref="K34:K37" si="46">ROUND(J34*33.8%,0)</f>
        <v>405589</v>
      </c>
      <c r="L34" s="55">
        <f t="shared" ref="L34:L37" si="47">ROUND(J34*1%,0)</f>
        <v>12000</v>
      </c>
      <c r="M34" s="325">
        <v>0</v>
      </c>
      <c r="N34" s="752">
        <v>2</v>
      </c>
      <c r="O34" s="445">
        <f t="shared" ref="O34:O37" si="48">V34*-1</f>
        <v>0</v>
      </c>
      <c r="P34" s="578">
        <v>0</v>
      </c>
      <c r="Q34" s="325">
        <v>0</v>
      </c>
      <c r="R34" s="325">
        <v>0</v>
      </c>
      <c r="S34" s="325">
        <v>0</v>
      </c>
      <c r="T34" s="325">
        <v>0</v>
      </c>
      <c r="U34" s="492">
        <f>O34+P34+Q34+R34+S34+T34</f>
        <v>0</v>
      </c>
      <c r="V34" s="325">
        <v>0</v>
      </c>
      <c r="W34" s="325">
        <v>0</v>
      </c>
      <c r="X34" s="325">
        <v>0</v>
      </c>
      <c r="Y34" s="492">
        <f t="shared" ref="Y34:Y37" si="49">V34+W34+X34</f>
        <v>0</v>
      </c>
      <c r="Z34" s="492">
        <f t="shared" ref="Z34:Z37" si="50">U34+Y34</f>
        <v>0</v>
      </c>
      <c r="AA34" s="494">
        <f t="shared" ref="AA34:AA37" si="51">ROUND((U34+Y34)*33.8%,0)</f>
        <v>0</v>
      </c>
      <c r="AB34" s="494">
        <f t="shared" ref="AB34:AB37" si="52">ROUND(U34*1%,0)</f>
        <v>0</v>
      </c>
      <c r="AC34" s="492">
        <v>0</v>
      </c>
      <c r="AD34" s="789">
        <f t="shared" ref="AD34:AD37" si="53">Z34+AA34+AB34+AC34</f>
        <v>0</v>
      </c>
      <c r="AE34" s="715">
        <v>0</v>
      </c>
      <c r="AF34" s="582">
        <v>0</v>
      </c>
      <c r="AG34" s="326">
        <v>0</v>
      </c>
      <c r="AH34" s="326">
        <v>0</v>
      </c>
      <c r="AI34" s="326">
        <v>0</v>
      </c>
      <c r="AJ34" s="326">
        <v>0</v>
      </c>
      <c r="AK34" s="626">
        <f>SUM(AE34:AJ34)</f>
        <v>0</v>
      </c>
      <c r="AL34" s="696">
        <f>I34+AD34</f>
        <v>1617557</v>
      </c>
      <c r="AM34" s="492">
        <f>J34+U34</f>
        <v>1199968</v>
      </c>
      <c r="AN34" s="492">
        <f>Y34</f>
        <v>0</v>
      </c>
      <c r="AO34" s="492">
        <f t="shared" ref="AO34:AQ37" si="54">K34+AA34</f>
        <v>405589</v>
      </c>
      <c r="AP34" s="492">
        <f t="shared" si="54"/>
        <v>12000</v>
      </c>
      <c r="AQ34" s="492">
        <f t="shared" si="54"/>
        <v>0</v>
      </c>
      <c r="AR34" s="626">
        <f>N34+AK34</f>
        <v>2</v>
      </c>
      <c r="AS34" s="240"/>
    </row>
    <row r="35" spans="1:45" ht="12.95" customHeight="1" x14ac:dyDescent="0.25">
      <c r="A35" s="205">
        <v>6</v>
      </c>
      <c r="B35" s="246">
        <v>5405</v>
      </c>
      <c r="C35" s="247">
        <v>600099121</v>
      </c>
      <c r="D35" s="206">
        <v>70695521</v>
      </c>
      <c r="E35" s="273" t="s">
        <v>404</v>
      </c>
      <c r="F35" s="246">
        <v>3113</v>
      </c>
      <c r="G35" s="270" t="s">
        <v>294</v>
      </c>
      <c r="H35" s="209" t="s">
        <v>262</v>
      </c>
      <c r="I35" s="586">
        <f t="shared" si="45"/>
        <v>8579741</v>
      </c>
      <c r="J35" s="678">
        <v>6364793</v>
      </c>
      <c r="K35" s="55">
        <f t="shared" si="46"/>
        <v>2151300</v>
      </c>
      <c r="L35" s="55">
        <f t="shared" si="47"/>
        <v>63648</v>
      </c>
      <c r="M35" s="325">
        <v>0</v>
      </c>
      <c r="N35" s="752">
        <v>10.181100000000001</v>
      </c>
      <c r="O35" s="440">
        <f t="shared" si="48"/>
        <v>0</v>
      </c>
      <c r="P35" s="578">
        <v>0</v>
      </c>
      <c r="Q35" s="325">
        <v>0</v>
      </c>
      <c r="R35" s="325">
        <v>0</v>
      </c>
      <c r="S35" s="325">
        <v>0</v>
      </c>
      <c r="T35" s="325">
        <v>0</v>
      </c>
      <c r="U35" s="492">
        <f>O35+P35+Q35+R35+S35+T35</f>
        <v>0</v>
      </c>
      <c r="V35" s="325">
        <v>0</v>
      </c>
      <c r="W35" s="325">
        <v>0</v>
      </c>
      <c r="X35" s="325">
        <v>0</v>
      </c>
      <c r="Y35" s="492">
        <f t="shared" si="49"/>
        <v>0</v>
      </c>
      <c r="Z35" s="492">
        <f t="shared" si="50"/>
        <v>0</v>
      </c>
      <c r="AA35" s="494">
        <f t="shared" si="51"/>
        <v>0</v>
      </c>
      <c r="AB35" s="494">
        <f t="shared" si="52"/>
        <v>0</v>
      </c>
      <c r="AC35" s="492">
        <v>0</v>
      </c>
      <c r="AD35" s="789">
        <f t="shared" si="53"/>
        <v>0</v>
      </c>
      <c r="AE35" s="715">
        <v>0</v>
      </c>
      <c r="AF35" s="582">
        <v>0</v>
      </c>
      <c r="AG35" s="326">
        <v>0</v>
      </c>
      <c r="AH35" s="326">
        <v>0</v>
      </c>
      <c r="AI35" s="326">
        <v>0</v>
      </c>
      <c r="AJ35" s="326">
        <v>0</v>
      </c>
      <c r="AK35" s="626">
        <f>SUM(AE35:AJ35)</f>
        <v>0</v>
      </c>
      <c r="AL35" s="696">
        <f>I35+AD35</f>
        <v>8579741</v>
      </c>
      <c r="AM35" s="492">
        <f>J35+U35</f>
        <v>6364793</v>
      </c>
      <c r="AN35" s="492">
        <f>Y35</f>
        <v>0</v>
      </c>
      <c r="AO35" s="492">
        <f t="shared" si="54"/>
        <v>2151300</v>
      </c>
      <c r="AP35" s="492">
        <f t="shared" si="54"/>
        <v>63648</v>
      </c>
      <c r="AQ35" s="492">
        <f t="shared" si="54"/>
        <v>0</v>
      </c>
      <c r="AR35" s="626">
        <f>N35+AK35</f>
        <v>10.181100000000001</v>
      </c>
      <c r="AS35" s="240"/>
    </row>
    <row r="36" spans="1:45" ht="12.95" customHeight="1" x14ac:dyDescent="0.25">
      <c r="A36" s="205">
        <v>6</v>
      </c>
      <c r="B36" s="246">
        <v>5405</v>
      </c>
      <c r="C36" s="247">
        <v>600099121</v>
      </c>
      <c r="D36" s="206">
        <v>70695521</v>
      </c>
      <c r="E36" s="273" t="s">
        <v>404</v>
      </c>
      <c r="F36" s="246">
        <v>3113</v>
      </c>
      <c r="G36" s="209" t="s">
        <v>278</v>
      </c>
      <c r="H36" s="209" t="s">
        <v>263</v>
      </c>
      <c r="I36" s="586">
        <f t="shared" si="45"/>
        <v>0</v>
      </c>
      <c r="J36" s="678"/>
      <c r="K36" s="55">
        <f t="shared" si="46"/>
        <v>0</v>
      </c>
      <c r="L36" s="55">
        <f t="shared" si="47"/>
        <v>0</v>
      </c>
      <c r="M36" s="325">
        <v>0</v>
      </c>
      <c r="N36" s="752"/>
      <c r="O36" s="440">
        <f t="shared" si="48"/>
        <v>0</v>
      </c>
      <c r="P36" s="578">
        <f>2527023-221946</f>
        <v>2305077</v>
      </c>
      <c r="Q36" s="325">
        <v>0</v>
      </c>
      <c r="R36" s="325">
        <v>0</v>
      </c>
      <c r="S36" s="325">
        <v>0</v>
      </c>
      <c r="T36" s="325">
        <v>0</v>
      </c>
      <c r="U36" s="492">
        <f>O36+P36+Q36+R36+S36+T36</f>
        <v>2305077</v>
      </c>
      <c r="V36" s="325">
        <v>0</v>
      </c>
      <c r="W36" s="325">
        <v>0</v>
      </c>
      <c r="X36" s="325">
        <v>0</v>
      </c>
      <c r="Y36" s="492">
        <f t="shared" si="49"/>
        <v>0</v>
      </c>
      <c r="Z36" s="492">
        <f t="shared" si="50"/>
        <v>2305077</v>
      </c>
      <c r="AA36" s="494">
        <f t="shared" si="51"/>
        <v>779116</v>
      </c>
      <c r="AB36" s="494">
        <f t="shared" si="52"/>
        <v>23051</v>
      </c>
      <c r="AC36" s="492">
        <v>0</v>
      </c>
      <c r="AD36" s="789">
        <f t="shared" si="53"/>
        <v>3107244</v>
      </c>
      <c r="AE36" s="715">
        <v>0</v>
      </c>
      <c r="AF36" s="582">
        <f>6.74-0.75</f>
        <v>5.99</v>
      </c>
      <c r="AG36" s="326">
        <v>0</v>
      </c>
      <c r="AH36" s="326">
        <v>0</v>
      </c>
      <c r="AI36" s="326">
        <v>0</v>
      </c>
      <c r="AJ36" s="326">
        <v>0</v>
      </c>
      <c r="AK36" s="626">
        <f>SUM(AE36:AJ36)</f>
        <v>5.99</v>
      </c>
      <c r="AL36" s="696">
        <f>I36+AD36</f>
        <v>3107244</v>
      </c>
      <c r="AM36" s="492">
        <f>J36+U36</f>
        <v>2305077</v>
      </c>
      <c r="AN36" s="492">
        <f>Y36</f>
        <v>0</v>
      </c>
      <c r="AO36" s="492">
        <f t="shared" si="54"/>
        <v>779116</v>
      </c>
      <c r="AP36" s="492">
        <f t="shared" si="54"/>
        <v>23051</v>
      </c>
      <c r="AQ36" s="492">
        <f t="shared" si="54"/>
        <v>0</v>
      </c>
      <c r="AR36" s="626">
        <f>N36+AK36</f>
        <v>5.99</v>
      </c>
      <c r="AS36" s="240"/>
    </row>
    <row r="37" spans="1:45" ht="12.95" customHeight="1" x14ac:dyDescent="0.25">
      <c r="A37" s="205">
        <v>6</v>
      </c>
      <c r="B37" s="246">
        <v>5405</v>
      </c>
      <c r="C37" s="247">
        <v>600099121</v>
      </c>
      <c r="D37" s="206">
        <v>70695521</v>
      </c>
      <c r="E37" s="273" t="s">
        <v>404</v>
      </c>
      <c r="F37" s="246">
        <v>3143</v>
      </c>
      <c r="G37" s="209" t="s">
        <v>795</v>
      </c>
      <c r="H37" s="209" t="s">
        <v>262</v>
      </c>
      <c r="I37" s="586">
        <f t="shared" si="45"/>
        <v>743054</v>
      </c>
      <c r="J37" s="678">
        <v>551227</v>
      </c>
      <c r="K37" s="55">
        <f t="shared" si="46"/>
        <v>186315</v>
      </c>
      <c r="L37" s="55">
        <f t="shared" si="47"/>
        <v>5512</v>
      </c>
      <c r="M37" s="325">
        <v>0</v>
      </c>
      <c r="N37" s="752">
        <v>1.0714999999999999</v>
      </c>
      <c r="O37" s="440">
        <f t="shared" si="48"/>
        <v>0</v>
      </c>
      <c r="P37" s="578">
        <v>0</v>
      </c>
      <c r="Q37" s="325">
        <v>0</v>
      </c>
      <c r="R37" s="325">
        <v>0</v>
      </c>
      <c r="S37" s="325">
        <v>0</v>
      </c>
      <c r="T37" s="325">
        <v>0</v>
      </c>
      <c r="U37" s="492">
        <f>O37+P37+Q37+R37+S37+T37</f>
        <v>0</v>
      </c>
      <c r="V37" s="325">
        <v>0</v>
      </c>
      <c r="W37" s="325">
        <v>0</v>
      </c>
      <c r="X37" s="325">
        <v>0</v>
      </c>
      <c r="Y37" s="492">
        <f t="shared" si="49"/>
        <v>0</v>
      </c>
      <c r="Z37" s="492">
        <f t="shared" si="50"/>
        <v>0</v>
      </c>
      <c r="AA37" s="494">
        <f t="shared" si="51"/>
        <v>0</v>
      </c>
      <c r="AB37" s="494">
        <f t="shared" si="52"/>
        <v>0</v>
      </c>
      <c r="AC37" s="492">
        <v>0</v>
      </c>
      <c r="AD37" s="789">
        <f t="shared" si="53"/>
        <v>0</v>
      </c>
      <c r="AE37" s="715">
        <v>0</v>
      </c>
      <c r="AF37" s="582">
        <v>0</v>
      </c>
      <c r="AG37" s="326">
        <v>0</v>
      </c>
      <c r="AH37" s="326">
        <v>0</v>
      </c>
      <c r="AI37" s="326">
        <v>0</v>
      </c>
      <c r="AJ37" s="326">
        <v>0</v>
      </c>
      <c r="AK37" s="626">
        <f>SUM(AE37:AJ37)</f>
        <v>0</v>
      </c>
      <c r="AL37" s="696">
        <f>I37+AD37</f>
        <v>743054</v>
      </c>
      <c r="AM37" s="492">
        <f>J37+U37</f>
        <v>551227</v>
      </c>
      <c r="AN37" s="492">
        <f>Y37</f>
        <v>0</v>
      </c>
      <c r="AO37" s="492">
        <f t="shared" si="54"/>
        <v>186315</v>
      </c>
      <c r="AP37" s="492">
        <f t="shared" si="54"/>
        <v>5512</v>
      </c>
      <c r="AQ37" s="492">
        <f t="shared" si="54"/>
        <v>0</v>
      </c>
      <c r="AR37" s="626">
        <f>N37+AK37</f>
        <v>1.0714999999999999</v>
      </c>
      <c r="AS37" s="240"/>
    </row>
    <row r="38" spans="1:45" ht="12.95" customHeight="1" x14ac:dyDescent="0.25">
      <c r="A38" s="198">
        <v>6</v>
      </c>
      <c r="B38" s="277">
        <v>5405</v>
      </c>
      <c r="C38" s="257">
        <v>600099121</v>
      </c>
      <c r="D38" s="277">
        <v>70695521</v>
      </c>
      <c r="E38" s="274" t="s">
        <v>405</v>
      </c>
      <c r="F38" s="277"/>
      <c r="G38" s="278"/>
      <c r="H38" s="569"/>
      <c r="I38" s="665">
        <f t="shared" ref="I38:AR38" si="55">SUM(I34:I37)</f>
        <v>10940352</v>
      </c>
      <c r="J38" s="680">
        <f t="shared" si="55"/>
        <v>8115988</v>
      </c>
      <c r="K38" s="357">
        <f t="shared" si="55"/>
        <v>2743204</v>
      </c>
      <c r="L38" s="357">
        <f t="shared" si="55"/>
        <v>81160</v>
      </c>
      <c r="M38" s="357">
        <f t="shared" ref="M38" si="56">SUM(M34:M37)</f>
        <v>0</v>
      </c>
      <c r="N38" s="756">
        <f t="shared" si="55"/>
        <v>13.252600000000001</v>
      </c>
      <c r="O38" s="443">
        <f t="shared" si="55"/>
        <v>0</v>
      </c>
      <c r="P38" s="443">
        <f t="shared" si="55"/>
        <v>2305077</v>
      </c>
      <c r="Q38" s="357">
        <f t="shared" si="55"/>
        <v>0</v>
      </c>
      <c r="R38" s="357">
        <f t="shared" si="55"/>
        <v>0</v>
      </c>
      <c r="S38" s="357">
        <f t="shared" si="55"/>
        <v>0</v>
      </c>
      <c r="T38" s="357">
        <f t="shared" si="55"/>
        <v>0</v>
      </c>
      <c r="U38" s="357">
        <f t="shared" si="55"/>
        <v>2305077</v>
      </c>
      <c r="V38" s="357">
        <f t="shared" si="55"/>
        <v>0</v>
      </c>
      <c r="W38" s="357">
        <f t="shared" si="55"/>
        <v>0</v>
      </c>
      <c r="X38" s="357">
        <f t="shared" si="55"/>
        <v>0</v>
      </c>
      <c r="Y38" s="357">
        <f t="shared" si="55"/>
        <v>0</v>
      </c>
      <c r="Z38" s="357">
        <f t="shared" si="55"/>
        <v>2305077</v>
      </c>
      <c r="AA38" s="357">
        <f t="shared" si="55"/>
        <v>779116</v>
      </c>
      <c r="AB38" s="357">
        <f t="shared" si="55"/>
        <v>23051</v>
      </c>
      <c r="AC38" s="357">
        <f t="shared" si="55"/>
        <v>0</v>
      </c>
      <c r="AD38" s="684">
        <f t="shared" si="55"/>
        <v>3107244</v>
      </c>
      <c r="AE38" s="840">
        <f t="shared" si="55"/>
        <v>0</v>
      </c>
      <c r="AF38" s="358">
        <f t="shared" si="55"/>
        <v>5.99</v>
      </c>
      <c r="AG38" s="358">
        <f t="shared" si="55"/>
        <v>0</v>
      </c>
      <c r="AH38" s="358">
        <f t="shared" si="55"/>
        <v>0</v>
      </c>
      <c r="AI38" s="358">
        <f t="shared" si="55"/>
        <v>0</v>
      </c>
      <c r="AJ38" s="358">
        <f t="shared" si="55"/>
        <v>0</v>
      </c>
      <c r="AK38" s="258">
        <f t="shared" si="55"/>
        <v>5.99</v>
      </c>
      <c r="AL38" s="687">
        <f t="shared" si="55"/>
        <v>14047596</v>
      </c>
      <c r="AM38" s="443">
        <f t="shared" si="55"/>
        <v>10421065</v>
      </c>
      <c r="AN38" s="357">
        <f t="shared" si="55"/>
        <v>0</v>
      </c>
      <c r="AO38" s="357">
        <f t="shared" si="55"/>
        <v>3522320</v>
      </c>
      <c r="AP38" s="357">
        <f t="shared" si="55"/>
        <v>104211</v>
      </c>
      <c r="AQ38" s="357">
        <f t="shared" si="55"/>
        <v>0</v>
      </c>
      <c r="AR38" s="258">
        <f t="shared" si="55"/>
        <v>19.242600000000003</v>
      </c>
      <c r="AS38" s="240"/>
    </row>
    <row r="39" spans="1:45" ht="12.95" customHeight="1" x14ac:dyDescent="0.25">
      <c r="A39" s="205">
        <v>7</v>
      </c>
      <c r="B39" s="246">
        <v>5410</v>
      </c>
      <c r="C39" s="247">
        <v>600099318</v>
      </c>
      <c r="D39" s="206">
        <v>854778</v>
      </c>
      <c r="E39" s="273" t="s">
        <v>406</v>
      </c>
      <c r="F39" s="246">
        <v>3111</v>
      </c>
      <c r="G39" s="270" t="s">
        <v>290</v>
      </c>
      <c r="H39" s="209" t="s">
        <v>262</v>
      </c>
      <c r="I39" s="586">
        <f t="shared" ref="I39:I42" si="57">SUM(J39:M39)</f>
        <v>3631961</v>
      </c>
      <c r="J39" s="678">
        <v>2694333</v>
      </c>
      <c r="K39" s="55">
        <f t="shared" ref="K39:K42" si="58">ROUND(J39*33.8%,0)</f>
        <v>910685</v>
      </c>
      <c r="L39" s="55">
        <f t="shared" ref="L39:L42" si="59">ROUND(J39*1%,0)</f>
        <v>26943</v>
      </c>
      <c r="M39" s="325">
        <v>0</v>
      </c>
      <c r="N39" s="752">
        <v>4.7300000000000004</v>
      </c>
      <c r="O39" s="445">
        <f t="shared" ref="O39:O42" si="60">V39*-1</f>
        <v>0</v>
      </c>
      <c r="P39" s="578">
        <v>0</v>
      </c>
      <c r="Q39" s="325">
        <v>0</v>
      </c>
      <c r="R39" s="325">
        <v>0</v>
      </c>
      <c r="S39" s="325">
        <v>0</v>
      </c>
      <c r="T39" s="325">
        <v>0</v>
      </c>
      <c r="U39" s="492">
        <f>O39+P39+Q39+R39+S39+T39</f>
        <v>0</v>
      </c>
      <c r="V39" s="325">
        <v>0</v>
      </c>
      <c r="W39" s="325">
        <v>0</v>
      </c>
      <c r="X39" s="325">
        <v>0</v>
      </c>
      <c r="Y39" s="492">
        <f t="shared" ref="Y39:Y42" si="61">V39+W39+X39</f>
        <v>0</v>
      </c>
      <c r="Z39" s="492">
        <f t="shared" ref="Z39:Z42" si="62">U39+Y39</f>
        <v>0</v>
      </c>
      <c r="AA39" s="494">
        <f t="shared" ref="AA39:AA42" si="63">ROUND((U39+Y39)*33.8%,0)</f>
        <v>0</v>
      </c>
      <c r="AB39" s="494">
        <f t="shared" ref="AB39:AB42" si="64">ROUND(U39*1%,0)</f>
        <v>0</v>
      </c>
      <c r="AC39" s="492">
        <v>0</v>
      </c>
      <c r="AD39" s="789">
        <f t="shared" ref="AD39:AD42" si="65">Z39+AA39+AB39+AC39</f>
        <v>0</v>
      </c>
      <c r="AE39" s="715">
        <v>0</v>
      </c>
      <c r="AF39" s="582">
        <v>0</v>
      </c>
      <c r="AG39" s="326">
        <v>0</v>
      </c>
      <c r="AH39" s="326">
        <v>0</v>
      </c>
      <c r="AI39" s="326">
        <v>0</v>
      </c>
      <c r="AJ39" s="326">
        <v>0</v>
      </c>
      <c r="AK39" s="626">
        <f>SUM(AE39:AJ39)</f>
        <v>0</v>
      </c>
      <c r="AL39" s="696">
        <f>I39+AD39</f>
        <v>3631961</v>
      </c>
      <c r="AM39" s="492">
        <f>J39+U39</f>
        <v>2694333</v>
      </c>
      <c r="AN39" s="492">
        <f>Y39</f>
        <v>0</v>
      </c>
      <c r="AO39" s="492">
        <f t="shared" ref="AO39:AQ42" si="66">K39+AA39</f>
        <v>910685</v>
      </c>
      <c r="AP39" s="492">
        <f t="shared" si="66"/>
        <v>26943</v>
      </c>
      <c r="AQ39" s="492">
        <f t="shared" si="66"/>
        <v>0</v>
      </c>
      <c r="AR39" s="626">
        <f>N39+AK39</f>
        <v>4.7300000000000004</v>
      </c>
      <c r="AS39" s="240"/>
    </row>
    <row r="40" spans="1:45" ht="12.95" customHeight="1" x14ac:dyDescent="0.25">
      <c r="A40" s="205">
        <v>7</v>
      </c>
      <c r="B40" s="246">
        <v>5410</v>
      </c>
      <c r="C40" s="247">
        <v>600099318</v>
      </c>
      <c r="D40" s="206">
        <v>854778</v>
      </c>
      <c r="E40" s="273" t="s">
        <v>406</v>
      </c>
      <c r="F40" s="246">
        <v>3113</v>
      </c>
      <c r="G40" s="270" t="s">
        <v>294</v>
      </c>
      <c r="H40" s="209" t="s">
        <v>262</v>
      </c>
      <c r="I40" s="586">
        <f t="shared" si="57"/>
        <v>11490236</v>
      </c>
      <c r="J40" s="678">
        <v>8523915</v>
      </c>
      <c r="K40" s="55">
        <f>ROUND(J40*33.8%,0)-1</f>
        <v>2881082</v>
      </c>
      <c r="L40" s="55">
        <f t="shared" si="59"/>
        <v>85239</v>
      </c>
      <c r="M40" s="325">
        <v>0</v>
      </c>
      <c r="N40" s="752">
        <v>12.1364</v>
      </c>
      <c r="O40" s="440">
        <f t="shared" si="60"/>
        <v>-24000</v>
      </c>
      <c r="P40" s="578">
        <v>0</v>
      </c>
      <c r="Q40" s="325">
        <v>0</v>
      </c>
      <c r="R40" s="325">
        <v>0</v>
      </c>
      <c r="S40" s="325">
        <v>0</v>
      </c>
      <c r="T40" s="325">
        <v>0</v>
      </c>
      <c r="U40" s="492">
        <f>O40+P40+Q40+R40+S40+T40</f>
        <v>-24000</v>
      </c>
      <c r="V40" s="325">
        <v>24000</v>
      </c>
      <c r="W40" s="325">
        <v>0</v>
      </c>
      <c r="X40" s="325">
        <v>0</v>
      </c>
      <c r="Y40" s="492">
        <f t="shared" si="61"/>
        <v>24000</v>
      </c>
      <c r="Z40" s="492">
        <f t="shared" si="62"/>
        <v>0</v>
      </c>
      <c r="AA40" s="494">
        <f t="shared" si="63"/>
        <v>0</v>
      </c>
      <c r="AB40" s="494">
        <f t="shared" si="64"/>
        <v>-240</v>
      </c>
      <c r="AC40" s="492">
        <v>0</v>
      </c>
      <c r="AD40" s="789">
        <f t="shared" si="65"/>
        <v>-240</v>
      </c>
      <c r="AE40" s="715">
        <v>0</v>
      </c>
      <c r="AF40" s="582">
        <v>0</v>
      </c>
      <c r="AG40" s="326">
        <v>0</v>
      </c>
      <c r="AH40" s="326">
        <v>0</v>
      </c>
      <c r="AI40" s="326">
        <v>0</v>
      </c>
      <c r="AJ40" s="326">
        <v>0</v>
      </c>
      <c r="AK40" s="626">
        <f>SUM(AE40:AJ40)</f>
        <v>0</v>
      </c>
      <c r="AL40" s="696">
        <f>I40+AD40</f>
        <v>11489996</v>
      </c>
      <c r="AM40" s="492">
        <f>J40+U40</f>
        <v>8499915</v>
      </c>
      <c r="AN40" s="492">
        <f>Y40</f>
        <v>24000</v>
      </c>
      <c r="AO40" s="492">
        <f t="shared" si="66"/>
        <v>2881082</v>
      </c>
      <c r="AP40" s="492">
        <f t="shared" si="66"/>
        <v>84999</v>
      </c>
      <c r="AQ40" s="492">
        <f t="shared" si="66"/>
        <v>0</v>
      </c>
      <c r="AR40" s="626">
        <f>N40+AK40</f>
        <v>12.1364</v>
      </c>
      <c r="AS40" s="240"/>
    </row>
    <row r="41" spans="1:45" ht="12.95" customHeight="1" x14ac:dyDescent="0.25">
      <c r="A41" s="205">
        <v>7</v>
      </c>
      <c r="B41" s="246">
        <v>5410</v>
      </c>
      <c r="C41" s="247">
        <v>600099318</v>
      </c>
      <c r="D41" s="206">
        <v>854778</v>
      </c>
      <c r="E41" s="273" t="s">
        <v>406</v>
      </c>
      <c r="F41" s="246">
        <v>3113</v>
      </c>
      <c r="G41" s="209" t="s">
        <v>278</v>
      </c>
      <c r="H41" s="209" t="s">
        <v>263</v>
      </c>
      <c r="I41" s="586">
        <f t="shared" si="57"/>
        <v>0</v>
      </c>
      <c r="J41" s="678"/>
      <c r="K41" s="55">
        <f t="shared" si="58"/>
        <v>0</v>
      </c>
      <c r="L41" s="55">
        <f t="shared" si="59"/>
        <v>0</v>
      </c>
      <c r="M41" s="325">
        <v>0</v>
      </c>
      <c r="N41" s="752"/>
      <c r="O41" s="440">
        <f t="shared" si="60"/>
        <v>0</v>
      </c>
      <c r="P41" s="578">
        <f>901798</f>
        <v>901798</v>
      </c>
      <c r="Q41" s="325">
        <v>0</v>
      </c>
      <c r="R41" s="325">
        <v>0</v>
      </c>
      <c r="S41" s="325">
        <v>0</v>
      </c>
      <c r="T41" s="325">
        <v>0</v>
      </c>
      <c r="U41" s="492">
        <f>O41+P41+Q41+R41+S41+T41</f>
        <v>901798</v>
      </c>
      <c r="V41" s="325">
        <v>0</v>
      </c>
      <c r="W41" s="325">
        <v>0</v>
      </c>
      <c r="X41" s="325">
        <v>0</v>
      </c>
      <c r="Y41" s="492">
        <f t="shared" si="61"/>
        <v>0</v>
      </c>
      <c r="Z41" s="492">
        <f t="shared" si="62"/>
        <v>901798</v>
      </c>
      <c r="AA41" s="494">
        <f t="shared" si="63"/>
        <v>304808</v>
      </c>
      <c r="AB41" s="494">
        <f t="shared" si="64"/>
        <v>9018</v>
      </c>
      <c r="AC41" s="492">
        <v>0</v>
      </c>
      <c r="AD41" s="789">
        <f t="shared" si="65"/>
        <v>1215624</v>
      </c>
      <c r="AE41" s="715">
        <v>0</v>
      </c>
      <c r="AF41" s="582">
        <f>2.24</f>
        <v>2.2400000000000002</v>
      </c>
      <c r="AG41" s="326">
        <v>0</v>
      </c>
      <c r="AH41" s="326">
        <v>0</v>
      </c>
      <c r="AI41" s="326">
        <v>0</v>
      </c>
      <c r="AJ41" s="326">
        <v>0</v>
      </c>
      <c r="AK41" s="626">
        <f>SUM(AE41:AJ41)</f>
        <v>2.2400000000000002</v>
      </c>
      <c r="AL41" s="696">
        <f>I41+AD41</f>
        <v>1215624</v>
      </c>
      <c r="AM41" s="492">
        <f>J41+U41</f>
        <v>901798</v>
      </c>
      <c r="AN41" s="492">
        <f>Y41</f>
        <v>0</v>
      </c>
      <c r="AO41" s="492">
        <f t="shared" si="66"/>
        <v>304808</v>
      </c>
      <c r="AP41" s="492">
        <f t="shared" si="66"/>
        <v>9018</v>
      </c>
      <c r="AQ41" s="492">
        <f t="shared" si="66"/>
        <v>0</v>
      </c>
      <c r="AR41" s="626">
        <f>N41+AK41</f>
        <v>2.2400000000000002</v>
      </c>
      <c r="AS41" s="240"/>
    </row>
    <row r="42" spans="1:45" ht="12.95" customHeight="1" x14ac:dyDescent="0.25">
      <c r="A42" s="205">
        <v>7</v>
      </c>
      <c r="B42" s="246">
        <v>5410</v>
      </c>
      <c r="C42" s="247">
        <v>600099318</v>
      </c>
      <c r="D42" s="206">
        <v>854778</v>
      </c>
      <c r="E42" s="273" t="s">
        <v>406</v>
      </c>
      <c r="F42" s="246">
        <v>3143</v>
      </c>
      <c r="G42" s="209" t="s">
        <v>795</v>
      </c>
      <c r="H42" s="209" t="s">
        <v>262</v>
      </c>
      <c r="I42" s="586">
        <f t="shared" si="57"/>
        <v>874173</v>
      </c>
      <c r="J42" s="678">
        <v>648496</v>
      </c>
      <c r="K42" s="55">
        <f t="shared" si="58"/>
        <v>219192</v>
      </c>
      <c r="L42" s="55">
        <f t="shared" si="59"/>
        <v>6485</v>
      </c>
      <c r="M42" s="325">
        <v>0</v>
      </c>
      <c r="N42" s="752">
        <v>1.29</v>
      </c>
      <c r="O42" s="440">
        <f t="shared" si="60"/>
        <v>0</v>
      </c>
      <c r="P42" s="578">
        <v>0</v>
      </c>
      <c r="Q42" s="325">
        <v>0</v>
      </c>
      <c r="R42" s="325">
        <v>0</v>
      </c>
      <c r="S42" s="325">
        <v>0</v>
      </c>
      <c r="T42" s="325">
        <v>0</v>
      </c>
      <c r="U42" s="492">
        <f>O42+P42+Q42+R42+S42+T42</f>
        <v>0</v>
      </c>
      <c r="V42" s="325">
        <v>0</v>
      </c>
      <c r="W42" s="325">
        <v>0</v>
      </c>
      <c r="X42" s="325">
        <v>0</v>
      </c>
      <c r="Y42" s="492">
        <f t="shared" si="61"/>
        <v>0</v>
      </c>
      <c r="Z42" s="492">
        <f t="shared" si="62"/>
        <v>0</v>
      </c>
      <c r="AA42" s="494">
        <f t="shared" si="63"/>
        <v>0</v>
      </c>
      <c r="AB42" s="494">
        <f t="shared" si="64"/>
        <v>0</v>
      </c>
      <c r="AC42" s="492">
        <v>0</v>
      </c>
      <c r="AD42" s="789">
        <f t="shared" si="65"/>
        <v>0</v>
      </c>
      <c r="AE42" s="715">
        <v>0</v>
      </c>
      <c r="AF42" s="582">
        <v>0</v>
      </c>
      <c r="AG42" s="326">
        <v>0</v>
      </c>
      <c r="AH42" s="326">
        <v>0</v>
      </c>
      <c r="AI42" s="326">
        <v>0</v>
      </c>
      <c r="AJ42" s="326">
        <v>0</v>
      </c>
      <c r="AK42" s="626">
        <f>SUM(AE42:AJ42)</f>
        <v>0</v>
      </c>
      <c r="AL42" s="696">
        <f>I42+AD42</f>
        <v>874173</v>
      </c>
      <c r="AM42" s="492">
        <f>J42+U42</f>
        <v>648496</v>
      </c>
      <c r="AN42" s="492">
        <f>Y42</f>
        <v>0</v>
      </c>
      <c r="AO42" s="492">
        <f t="shared" si="66"/>
        <v>219192</v>
      </c>
      <c r="AP42" s="492">
        <f t="shared" si="66"/>
        <v>6485</v>
      </c>
      <c r="AQ42" s="492">
        <f t="shared" si="66"/>
        <v>0</v>
      </c>
      <c r="AR42" s="626">
        <f>N42+AK42</f>
        <v>1.29</v>
      </c>
      <c r="AS42" s="240"/>
    </row>
    <row r="43" spans="1:45" ht="12.95" customHeight="1" x14ac:dyDescent="0.25">
      <c r="A43" s="198">
        <v>7</v>
      </c>
      <c r="B43" s="250">
        <v>5410</v>
      </c>
      <c r="C43" s="251">
        <v>600099318</v>
      </c>
      <c r="D43" s="250">
        <v>854778</v>
      </c>
      <c r="E43" s="274" t="s">
        <v>407</v>
      </c>
      <c r="F43" s="250"/>
      <c r="G43" s="275"/>
      <c r="H43" s="568"/>
      <c r="I43" s="664">
        <f t="shared" ref="I43:AR43" si="67">SUM(I39:I42)</f>
        <v>15996370</v>
      </c>
      <c r="J43" s="679">
        <f t="shared" si="67"/>
        <v>11866744</v>
      </c>
      <c r="K43" s="355">
        <f t="shared" si="67"/>
        <v>4010959</v>
      </c>
      <c r="L43" s="355">
        <f t="shared" si="67"/>
        <v>118667</v>
      </c>
      <c r="M43" s="355">
        <f t="shared" ref="M43" si="68">SUM(M39:M42)</f>
        <v>0</v>
      </c>
      <c r="N43" s="753">
        <f t="shared" si="67"/>
        <v>18.156399999999998</v>
      </c>
      <c r="O43" s="442">
        <f t="shared" si="67"/>
        <v>-24000</v>
      </c>
      <c r="P43" s="442">
        <f t="shared" si="67"/>
        <v>901798</v>
      </c>
      <c r="Q43" s="355">
        <f t="shared" si="67"/>
        <v>0</v>
      </c>
      <c r="R43" s="355">
        <f t="shared" si="67"/>
        <v>0</v>
      </c>
      <c r="S43" s="355">
        <f t="shared" si="67"/>
        <v>0</v>
      </c>
      <c r="T43" s="355">
        <f t="shared" si="67"/>
        <v>0</v>
      </c>
      <c r="U43" s="355">
        <f t="shared" si="67"/>
        <v>877798</v>
      </c>
      <c r="V43" s="355">
        <f t="shared" si="67"/>
        <v>24000</v>
      </c>
      <c r="W43" s="355">
        <f t="shared" si="67"/>
        <v>0</v>
      </c>
      <c r="X43" s="355">
        <f t="shared" si="67"/>
        <v>0</v>
      </c>
      <c r="Y43" s="355">
        <f t="shared" si="67"/>
        <v>24000</v>
      </c>
      <c r="Z43" s="355">
        <f t="shared" si="67"/>
        <v>901798</v>
      </c>
      <c r="AA43" s="355">
        <f t="shared" si="67"/>
        <v>304808</v>
      </c>
      <c r="AB43" s="355">
        <f t="shared" si="67"/>
        <v>8778</v>
      </c>
      <c r="AC43" s="355">
        <f t="shared" si="67"/>
        <v>0</v>
      </c>
      <c r="AD43" s="683">
        <f t="shared" si="67"/>
        <v>1215384</v>
      </c>
      <c r="AE43" s="839">
        <f t="shared" si="67"/>
        <v>0</v>
      </c>
      <c r="AF43" s="356">
        <f t="shared" si="67"/>
        <v>2.2400000000000002</v>
      </c>
      <c r="AG43" s="356">
        <f t="shared" si="67"/>
        <v>0</v>
      </c>
      <c r="AH43" s="356">
        <f t="shared" si="67"/>
        <v>0</v>
      </c>
      <c r="AI43" s="356">
        <f t="shared" si="67"/>
        <v>0</v>
      </c>
      <c r="AJ43" s="356">
        <f t="shared" si="67"/>
        <v>0</v>
      </c>
      <c r="AK43" s="253">
        <f t="shared" si="67"/>
        <v>2.2400000000000002</v>
      </c>
      <c r="AL43" s="686">
        <f t="shared" si="67"/>
        <v>17211754</v>
      </c>
      <c r="AM43" s="442">
        <f t="shared" si="67"/>
        <v>12744542</v>
      </c>
      <c r="AN43" s="355">
        <f t="shared" si="67"/>
        <v>24000</v>
      </c>
      <c r="AO43" s="355">
        <f t="shared" si="67"/>
        <v>4315767</v>
      </c>
      <c r="AP43" s="355">
        <f t="shared" si="67"/>
        <v>127445</v>
      </c>
      <c r="AQ43" s="355">
        <f t="shared" si="67"/>
        <v>0</v>
      </c>
      <c r="AR43" s="253">
        <f t="shared" si="67"/>
        <v>20.3964</v>
      </c>
      <c r="AS43" s="240"/>
    </row>
    <row r="44" spans="1:45" ht="12.95" customHeight="1" x14ac:dyDescent="0.25">
      <c r="A44" s="205">
        <v>8</v>
      </c>
      <c r="B44" s="246">
        <v>5476</v>
      </c>
      <c r="C44" s="247">
        <v>650046072</v>
      </c>
      <c r="D44" s="206">
        <v>71002723</v>
      </c>
      <c r="E44" s="273" t="s">
        <v>408</v>
      </c>
      <c r="F44" s="246">
        <v>3111</v>
      </c>
      <c r="G44" s="270" t="s">
        <v>290</v>
      </c>
      <c r="H44" s="209" t="s">
        <v>262</v>
      </c>
      <c r="I44" s="586">
        <f t="shared" ref="I44:I48" si="69">SUM(J44:M44)</f>
        <v>2345353</v>
      </c>
      <c r="J44" s="678">
        <v>1739876</v>
      </c>
      <c r="K44" s="55">
        <f t="shared" ref="K44:K48" si="70">ROUND(J44*33.8%,0)</f>
        <v>588078</v>
      </c>
      <c r="L44" s="55">
        <f t="shared" ref="L44:L48" si="71">ROUND(J44*1%,0)</f>
        <v>17399</v>
      </c>
      <c r="M44" s="325">
        <v>0</v>
      </c>
      <c r="N44" s="752">
        <v>3</v>
      </c>
      <c r="O44" s="445">
        <f t="shared" ref="O44:O48" si="72">V44*-1</f>
        <v>-3000</v>
      </c>
      <c r="P44" s="578">
        <v>0</v>
      </c>
      <c r="Q44" s="325">
        <v>0</v>
      </c>
      <c r="R44" s="325">
        <v>0</v>
      </c>
      <c r="S44" s="325">
        <v>0</v>
      </c>
      <c r="T44" s="325">
        <v>0</v>
      </c>
      <c r="U44" s="492">
        <f>O44+P44+Q44+R44+S44+T44</f>
        <v>-3000</v>
      </c>
      <c r="V44" s="325">
        <v>3000</v>
      </c>
      <c r="W44" s="325">
        <v>0</v>
      </c>
      <c r="X44" s="325">
        <v>0</v>
      </c>
      <c r="Y44" s="492">
        <f t="shared" ref="Y44:Y48" si="73">V44+W44+X44</f>
        <v>3000</v>
      </c>
      <c r="Z44" s="492">
        <f t="shared" ref="Z44:Z48" si="74">U44+Y44</f>
        <v>0</v>
      </c>
      <c r="AA44" s="494">
        <f t="shared" ref="AA44:AA48" si="75">ROUND((U44+Y44)*33.8%,0)</f>
        <v>0</v>
      </c>
      <c r="AB44" s="494">
        <f t="shared" ref="AB44:AB48" si="76">ROUND(U44*1%,0)</f>
        <v>-30</v>
      </c>
      <c r="AC44" s="492">
        <v>0</v>
      </c>
      <c r="AD44" s="789">
        <f t="shared" ref="AD44:AD48" si="77">Z44+AA44+AB44+AC44</f>
        <v>-30</v>
      </c>
      <c r="AE44" s="715">
        <v>0</v>
      </c>
      <c r="AF44" s="582">
        <v>0</v>
      </c>
      <c r="AG44" s="326">
        <v>0</v>
      </c>
      <c r="AH44" s="326">
        <v>0</v>
      </c>
      <c r="AI44" s="326">
        <v>0</v>
      </c>
      <c r="AJ44" s="326">
        <v>0</v>
      </c>
      <c r="AK44" s="626">
        <f>SUM(AE44:AJ44)</f>
        <v>0</v>
      </c>
      <c r="AL44" s="696">
        <f>I44+AD44</f>
        <v>2345323</v>
      </c>
      <c r="AM44" s="492">
        <f>J44+U44</f>
        <v>1736876</v>
      </c>
      <c r="AN44" s="492">
        <f>Y44</f>
        <v>3000</v>
      </c>
      <c r="AO44" s="492">
        <f t="shared" ref="AO44:AQ48" si="78">K44+AA44</f>
        <v>588078</v>
      </c>
      <c r="AP44" s="492">
        <f t="shared" si="78"/>
        <v>17369</v>
      </c>
      <c r="AQ44" s="492">
        <f t="shared" si="78"/>
        <v>0</v>
      </c>
      <c r="AR44" s="626">
        <f>N44+AK44</f>
        <v>3</v>
      </c>
      <c r="AS44" s="240"/>
    </row>
    <row r="45" spans="1:45" ht="12.95" customHeight="1" x14ac:dyDescent="0.25">
      <c r="A45" s="205">
        <v>8</v>
      </c>
      <c r="B45" s="246">
        <v>5476</v>
      </c>
      <c r="C45" s="247">
        <v>650046072</v>
      </c>
      <c r="D45" s="206">
        <v>71002723</v>
      </c>
      <c r="E45" s="273" t="s">
        <v>408</v>
      </c>
      <c r="F45" s="246">
        <v>3113</v>
      </c>
      <c r="G45" s="270" t="s">
        <v>294</v>
      </c>
      <c r="H45" s="209" t="s">
        <v>262</v>
      </c>
      <c r="I45" s="586">
        <f t="shared" si="69"/>
        <v>10499331</v>
      </c>
      <c r="J45" s="678">
        <v>7788821</v>
      </c>
      <c r="K45" s="55">
        <f>ROUND(J45*33.8%,0)+1</f>
        <v>2632622</v>
      </c>
      <c r="L45" s="55">
        <f t="shared" si="71"/>
        <v>77888</v>
      </c>
      <c r="M45" s="325">
        <v>0</v>
      </c>
      <c r="N45" s="752">
        <v>11.4117</v>
      </c>
      <c r="O45" s="440">
        <f t="shared" si="72"/>
        <v>-51000</v>
      </c>
      <c r="P45" s="578">
        <v>0</v>
      </c>
      <c r="Q45" s="325">
        <v>16680</v>
      </c>
      <c r="R45" s="325">
        <v>0</v>
      </c>
      <c r="S45" s="325">
        <v>0</v>
      </c>
      <c r="T45" s="325">
        <v>0</v>
      </c>
      <c r="U45" s="492">
        <f>O45+P45+Q45+R45+S45+T45</f>
        <v>-34320</v>
      </c>
      <c r="V45" s="325">
        <v>51000</v>
      </c>
      <c r="W45" s="325">
        <v>0</v>
      </c>
      <c r="X45" s="325">
        <v>0</v>
      </c>
      <c r="Y45" s="492">
        <f t="shared" si="73"/>
        <v>51000</v>
      </c>
      <c r="Z45" s="492">
        <f t="shared" si="74"/>
        <v>16680</v>
      </c>
      <c r="AA45" s="494">
        <f t="shared" si="75"/>
        <v>5638</v>
      </c>
      <c r="AB45" s="494">
        <f t="shared" si="76"/>
        <v>-343</v>
      </c>
      <c r="AC45" s="492">
        <v>0</v>
      </c>
      <c r="AD45" s="789">
        <f t="shared" si="77"/>
        <v>21975</v>
      </c>
      <c r="AE45" s="715">
        <v>-7.0000000000000007E-2</v>
      </c>
      <c r="AF45" s="582">
        <v>0</v>
      </c>
      <c r="AG45" s="326">
        <v>0</v>
      </c>
      <c r="AH45" s="326">
        <v>0.03</v>
      </c>
      <c r="AI45" s="326">
        <v>0</v>
      </c>
      <c r="AJ45" s="326">
        <v>0</v>
      </c>
      <c r="AK45" s="626">
        <f>SUM(AE45:AJ45)</f>
        <v>-4.0000000000000008E-2</v>
      </c>
      <c r="AL45" s="696">
        <f>I45+AD45</f>
        <v>10521306</v>
      </c>
      <c r="AM45" s="492">
        <f>J45+U45</f>
        <v>7754501</v>
      </c>
      <c r="AN45" s="492">
        <f>Y45</f>
        <v>51000</v>
      </c>
      <c r="AO45" s="492">
        <f t="shared" si="78"/>
        <v>2638260</v>
      </c>
      <c r="AP45" s="492">
        <f t="shared" si="78"/>
        <v>77545</v>
      </c>
      <c r="AQ45" s="492">
        <f t="shared" si="78"/>
        <v>0</v>
      </c>
      <c r="AR45" s="626">
        <f>N45+AK45</f>
        <v>11.371700000000001</v>
      </c>
      <c r="AS45" s="240"/>
    </row>
    <row r="46" spans="1:45" ht="12.95" customHeight="1" x14ac:dyDescent="0.25">
      <c r="A46" s="205">
        <v>8</v>
      </c>
      <c r="B46" s="246">
        <v>5476</v>
      </c>
      <c r="C46" s="247">
        <v>650046072</v>
      </c>
      <c r="D46" s="206">
        <v>71002723</v>
      </c>
      <c r="E46" s="273" t="s">
        <v>408</v>
      </c>
      <c r="F46" s="246">
        <v>3113</v>
      </c>
      <c r="G46" s="209" t="s">
        <v>278</v>
      </c>
      <c r="H46" s="209" t="s">
        <v>263</v>
      </c>
      <c r="I46" s="586">
        <f t="shared" si="69"/>
        <v>0</v>
      </c>
      <c r="J46" s="678"/>
      <c r="K46" s="55">
        <f t="shared" si="70"/>
        <v>0</v>
      </c>
      <c r="L46" s="55">
        <f t="shared" si="71"/>
        <v>0</v>
      </c>
      <c r="M46" s="325">
        <v>0</v>
      </c>
      <c r="N46" s="752"/>
      <c r="O46" s="440">
        <f t="shared" si="72"/>
        <v>0</v>
      </c>
      <c r="P46" s="578">
        <v>964988</v>
      </c>
      <c r="Q46" s="325">
        <v>0</v>
      </c>
      <c r="R46" s="325">
        <v>0</v>
      </c>
      <c r="S46" s="325">
        <v>0</v>
      </c>
      <c r="T46" s="325">
        <v>0</v>
      </c>
      <c r="U46" s="492">
        <f>O46+P46+Q46+R46+S46+T46</f>
        <v>964988</v>
      </c>
      <c r="V46" s="325">
        <v>0</v>
      </c>
      <c r="W46" s="325">
        <v>0</v>
      </c>
      <c r="X46" s="325">
        <v>0</v>
      </c>
      <c r="Y46" s="492">
        <f t="shared" si="73"/>
        <v>0</v>
      </c>
      <c r="Z46" s="492">
        <f t="shared" si="74"/>
        <v>964988</v>
      </c>
      <c r="AA46" s="494">
        <f t="shared" si="75"/>
        <v>326166</v>
      </c>
      <c r="AB46" s="494">
        <f t="shared" si="76"/>
        <v>9650</v>
      </c>
      <c r="AC46" s="492">
        <v>0</v>
      </c>
      <c r="AD46" s="789">
        <f t="shared" si="77"/>
        <v>1300804</v>
      </c>
      <c r="AE46" s="715">
        <v>0</v>
      </c>
      <c r="AF46" s="582">
        <v>2.38</v>
      </c>
      <c r="AG46" s="326">
        <v>0</v>
      </c>
      <c r="AH46" s="326">
        <v>0</v>
      </c>
      <c r="AI46" s="326">
        <v>0</v>
      </c>
      <c r="AJ46" s="326">
        <v>0</v>
      </c>
      <c r="AK46" s="626">
        <f>SUM(AE46:AJ46)</f>
        <v>2.38</v>
      </c>
      <c r="AL46" s="696">
        <f>I46+AD46</f>
        <v>1300804</v>
      </c>
      <c r="AM46" s="492">
        <f>J46+U46</f>
        <v>964988</v>
      </c>
      <c r="AN46" s="492">
        <f>Y46</f>
        <v>0</v>
      </c>
      <c r="AO46" s="492">
        <f t="shared" si="78"/>
        <v>326166</v>
      </c>
      <c r="AP46" s="492">
        <f t="shared" si="78"/>
        <v>9650</v>
      </c>
      <c r="AQ46" s="492">
        <f t="shared" si="78"/>
        <v>0</v>
      </c>
      <c r="AR46" s="626">
        <f>N46+AK46</f>
        <v>2.38</v>
      </c>
      <c r="AS46" s="240"/>
    </row>
    <row r="47" spans="1:45" ht="12.95" customHeight="1" x14ac:dyDescent="0.25">
      <c r="A47" s="205">
        <v>8</v>
      </c>
      <c r="B47" s="246">
        <v>5476</v>
      </c>
      <c r="C47" s="247">
        <v>650046072</v>
      </c>
      <c r="D47" s="206">
        <v>71002723</v>
      </c>
      <c r="E47" s="273" t="s">
        <v>408</v>
      </c>
      <c r="F47" s="246">
        <v>3143</v>
      </c>
      <c r="G47" s="209" t="s">
        <v>794</v>
      </c>
      <c r="H47" s="209" t="s">
        <v>262</v>
      </c>
      <c r="I47" s="586">
        <f t="shared" si="69"/>
        <v>880141</v>
      </c>
      <c r="J47" s="678">
        <v>652924</v>
      </c>
      <c r="K47" s="55">
        <f t="shared" si="70"/>
        <v>220688</v>
      </c>
      <c r="L47" s="55">
        <f t="shared" si="71"/>
        <v>6529</v>
      </c>
      <c r="M47" s="325">
        <v>0</v>
      </c>
      <c r="N47" s="752">
        <v>1.3</v>
      </c>
      <c r="O47" s="440">
        <f t="shared" si="72"/>
        <v>-3000</v>
      </c>
      <c r="P47" s="578">
        <v>0</v>
      </c>
      <c r="Q47" s="325">
        <v>0</v>
      </c>
      <c r="R47" s="325">
        <v>0</v>
      </c>
      <c r="S47" s="325">
        <v>0</v>
      </c>
      <c r="T47" s="325">
        <v>0</v>
      </c>
      <c r="U47" s="492">
        <f>O47+P47+Q47+R47+S47+T47</f>
        <v>-3000</v>
      </c>
      <c r="V47" s="325">
        <v>3000</v>
      </c>
      <c r="W47" s="325">
        <v>0</v>
      </c>
      <c r="X47" s="325">
        <v>0</v>
      </c>
      <c r="Y47" s="492">
        <f t="shared" si="73"/>
        <v>3000</v>
      </c>
      <c r="Z47" s="492">
        <f t="shared" si="74"/>
        <v>0</v>
      </c>
      <c r="AA47" s="494">
        <f t="shared" si="75"/>
        <v>0</v>
      </c>
      <c r="AB47" s="494">
        <f t="shared" si="76"/>
        <v>-30</v>
      </c>
      <c r="AC47" s="492">
        <v>0</v>
      </c>
      <c r="AD47" s="789">
        <f t="shared" si="77"/>
        <v>-30</v>
      </c>
      <c r="AE47" s="715">
        <v>-0.01</v>
      </c>
      <c r="AF47" s="582">
        <v>0</v>
      </c>
      <c r="AG47" s="326">
        <v>0</v>
      </c>
      <c r="AH47" s="326">
        <v>0</v>
      </c>
      <c r="AI47" s="326">
        <v>0</v>
      </c>
      <c r="AJ47" s="326">
        <v>0</v>
      </c>
      <c r="AK47" s="626">
        <f>SUM(AE47:AJ47)</f>
        <v>-0.01</v>
      </c>
      <c r="AL47" s="696">
        <f>I47+AD47</f>
        <v>880111</v>
      </c>
      <c r="AM47" s="492">
        <f>J47+U47</f>
        <v>649924</v>
      </c>
      <c r="AN47" s="492">
        <f>Y47</f>
        <v>3000</v>
      </c>
      <c r="AO47" s="492">
        <f t="shared" si="78"/>
        <v>220688</v>
      </c>
      <c r="AP47" s="492">
        <f t="shared" si="78"/>
        <v>6499</v>
      </c>
      <c r="AQ47" s="492">
        <f t="shared" si="78"/>
        <v>0</v>
      </c>
      <c r="AR47" s="626">
        <f>N47+AK47</f>
        <v>1.29</v>
      </c>
      <c r="AS47" s="240"/>
    </row>
    <row r="48" spans="1:45" ht="12.95" customHeight="1" x14ac:dyDescent="0.25">
      <c r="A48" s="205">
        <v>8</v>
      </c>
      <c r="B48" s="246">
        <v>5476</v>
      </c>
      <c r="C48" s="247">
        <v>650046072</v>
      </c>
      <c r="D48" s="206">
        <v>71002723</v>
      </c>
      <c r="E48" s="273" t="s">
        <v>408</v>
      </c>
      <c r="F48" s="246">
        <v>3231</v>
      </c>
      <c r="G48" s="270" t="s">
        <v>281</v>
      </c>
      <c r="H48" s="209" t="s">
        <v>262</v>
      </c>
      <c r="I48" s="586">
        <f t="shared" si="69"/>
        <v>7640068</v>
      </c>
      <c r="J48" s="678">
        <v>5667706</v>
      </c>
      <c r="K48" s="55">
        <f t="shared" si="70"/>
        <v>1915685</v>
      </c>
      <c r="L48" s="55">
        <f t="shared" si="71"/>
        <v>56677</v>
      </c>
      <c r="M48" s="325">
        <v>0</v>
      </c>
      <c r="N48" s="752">
        <v>8.5135000000000005</v>
      </c>
      <c r="O48" s="440">
        <f t="shared" si="72"/>
        <v>-3000</v>
      </c>
      <c r="P48" s="578">
        <v>0</v>
      </c>
      <c r="Q48" s="325">
        <v>0</v>
      </c>
      <c r="R48" s="325">
        <v>0</v>
      </c>
      <c r="S48" s="325">
        <v>0</v>
      </c>
      <c r="T48" s="325">
        <v>0</v>
      </c>
      <c r="U48" s="492">
        <f>O48+P48+Q48+R48+S48+T48</f>
        <v>-3000</v>
      </c>
      <c r="V48" s="325">
        <v>3000</v>
      </c>
      <c r="W48" s="325">
        <v>0</v>
      </c>
      <c r="X48" s="325">
        <v>0</v>
      </c>
      <c r="Y48" s="492">
        <f t="shared" si="73"/>
        <v>3000</v>
      </c>
      <c r="Z48" s="492">
        <f t="shared" si="74"/>
        <v>0</v>
      </c>
      <c r="AA48" s="494">
        <f t="shared" si="75"/>
        <v>0</v>
      </c>
      <c r="AB48" s="494">
        <f t="shared" si="76"/>
        <v>-30</v>
      </c>
      <c r="AC48" s="492">
        <v>0</v>
      </c>
      <c r="AD48" s="789">
        <f t="shared" si="77"/>
        <v>-30</v>
      </c>
      <c r="AE48" s="715">
        <v>0</v>
      </c>
      <c r="AF48" s="582">
        <v>0</v>
      </c>
      <c r="AG48" s="326">
        <v>0</v>
      </c>
      <c r="AH48" s="326">
        <v>0</v>
      </c>
      <c r="AI48" s="326">
        <v>0</v>
      </c>
      <c r="AJ48" s="326">
        <v>0</v>
      </c>
      <c r="AK48" s="626">
        <f>SUM(AE48:AJ48)</f>
        <v>0</v>
      </c>
      <c r="AL48" s="696">
        <f>I48+AD48</f>
        <v>7640038</v>
      </c>
      <c r="AM48" s="492">
        <f>J48+U48</f>
        <v>5664706</v>
      </c>
      <c r="AN48" s="492">
        <f>Y48</f>
        <v>3000</v>
      </c>
      <c r="AO48" s="492">
        <f t="shared" si="78"/>
        <v>1915685</v>
      </c>
      <c r="AP48" s="492">
        <f t="shared" si="78"/>
        <v>56647</v>
      </c>
      <c r="AQ48" s="492">
        <f t="shared" si="78"/>
        <v>0</v>
      </c>
      <c r="AR48" s="626">
        <f>N48+AK48</f>
        <v>8.5135000000000005</v>
      </c>
      <c r="AS48" s="240"/>
    </row>
    <row r="49" spans="1:45" ht="12.95" customHeight="1" x14ac:dyDescent="0.25">
      <c r="A49" s="198">
        <v>8</v>
      </c>
      <c r="B49" s="250">
        <v>5476</v>
      </c>
      <c r="C49" s="251">
        <v>650046072</v>
      </c>
      <c r="D49" s="250">
        <v>71002723</v>
      </c>
      <c r="E49" s="274" t="s">
        <v>409</v>
      </c>
      <c r="F49" s="250"/>
      <c r="G49" s="275"/>
      <c r="H49" s="568"/>
      <c r="I49" s="664">
        <f t="shared" ref="I49:AR49" si="79">SUM(I44:I48)</f>
        <v>21364893</v>
      </c>
      <c r="J49" s="679">
        <f t="shared" si="79"/>
        <v>15849327</v>
      </c>
      <c r="K49" s="355">
        <f t="shared" si="79"/>
        <v>5357073</v>
      </c>
      <c r="L49" s="355">
        <f t="shared" si="79"/>
        <v>158493</v>
      </c>
      <c r="M49" s="355">
        <f t="shared" ref="M49" si="80">SUM(M44:M48)</f>
        <v>0</v>
      </c>
      <c r="N49" s="753">
        <f t="shared" si="79"/>
        <v>24.225200000000001</v>
      </c>
      <c r="O49" s="442">
        <f t="shared" si="79"/>
        <v>-60000</v>
      </c>
      <c r="P49" s="442">
        <f t="shared" si="79"/>
        <v>964988</v>
      </c>
      <c r="Q49" s="355">
        <f t="shared" si="79"/>
        <v>16680</v>
      </c>
      <c r="R49" s="355">
        <f t="shared" si="79"/>
        <v>0</v>
      </c>
      <c r="S49" s="355">
        <f t="shared" si="79"/>
        <v>0</v>
      </c>
      <c r="T49" s="355">
        <f t="shared" si="79"/>
        <v>0</v>
      </c>
      <c r="U49" s="355">
        <f t="shared" si="79"/>
        <v>921668</v>
      </c>
      <c r="V49" s="355">
        <f t="shared" si="79"/>
        <v>60000</v>
      </c>
      <c r="W49" s="355">
        <f t="shared" si="79"/>
        <v>0</v>
      </c>
      <c r="X49" s="355">
        <f t="shared" si="79"/>
        <v>0</v>
      </c>
      <c r="Y49" s="355">
        <f t="shared" si="79"/>
        <v>60000</v>
      </c>
      <c r="Z49" s="355">
        <f t="shared" si="79"/>
        <v>981668</v>
      </c>
      <c r="AA49" s="355">
        <f t="shared" si="79"/>
        <v>331804</v>
      </c>
      <c r="AB49" s="355">
        <f t="shared" si="79"/>
        <v>9217</v>
      </c>
      <c r="AC49" s="355">
        <f t="shared" si="79"/>
        <v>0</v>
      </c>
      <c r="AD49" s="683">
        <f t="shared" si="79"/>
        <v>1322689</v>
      </c>
      <c r="AE49" s="839">
        <f t="shared" si="79"/>
        <v>-0.08</v>
      </c>
      <c r="AF49" s="356">
        <f t="shared" si="79"/>
        <v>2.38</v>
      </c>
      <c r="AG49" s="356">
        <f t="shared" si="79"/>
        <v>0</v>
      </c>
      <c r="AH49" s="356">
        <f t="shared" si="79"/>
        <v>0.03</v>
      </c>
      <c r="AI49" s="356">
        <f t="shared" si="79"/>
        <v>0</v>
      </c>
      <c r="AJ49" s="356">
        <f t="shared" si="79"/>
        <v>0</v>
      </c>
      <c r="AK49" s="253">
        <f t="shared" si="79"/>
        <v>2.33</v>
      </c>
      <c r="AL49" s="686">
        <f t="shared" si="79"/>
        <v>22687582</v>
      </c>
      <c r="AM49" s="442">
        <f t="shared" si="79"/>
        <v>16770995</v>
      </c>
      <c r="AN49" s="355">
        <f t="shared" si="79"/>
        <v>60000</v>
      </c>
      <c r="AO49" s="355">
        <f t="shared" si="79"/>
        <v>5688877</v>
      </c>
      <c r="AP49" s="355">
        <f t="shared" si="79"/>
        <v>167710</v>
      </c>
      <c r="AQ49" s="355">
        <f t="shared" si="79"/>
        <v>0</v>
      </c>
      <c r="AR49" s="253">
        <f t="shared" si="79"/>
        <v>26.555199999999999</v>
      </c>
      <c r="AS49" s="240"/>
    </row>
    <row r="50" spans="1:45" ht="12.95" customHeight="1" x14ac:dyDescent="0.25">
      <c r="A50" s="205">
        <v>9</v>
      </c>
      <c r="B50" s="246">
        <v>5414</v>
      </c>
      <c r="C50" s="247">
        <v>600099008</v>
      </c>
      <c r="D50" s="206">
        <v>70695555</v>
      </c>
      <c r="E50" s="273" t="s">
        <v>410</v>
      </c>
      <c r="F50" s="246">
        <v>3111</v>
      </c>
      <c r="G50" s="270" t="s">
        <v>290</v>
      </c>
      <c r="H50" s="209" t="s">
        <v>262</v>
      </c>
      <c r="I50" s="586">
        <f>SUM(J50:M50)</f>
        <v>1691511</v>
      </c>
      <c r="J50" s="678">
        <v>1254830</v>
      </c>
      <c r="K50" s="55">
        <f>ROUND(J50*33.8%,0)</f>
        <v>424133</v>
      </c>
      <c r="L50" s="55">
        <f>ROUND(J50*1%,0)</f>
        <v>12548</v>
      </c>
      <c r="M50" s="325">
        <v>0</v>
      </c>
      <c r="N50" s="752">
        <v>2</v>
      </c>
      <c r="O50" s="445">
        <f>V50*-1</f>
        <v>0</v>
      </c>
      <c r="P50" s="578">
        <v>0</v>
      </c>
      <c r="Q50" s="325">
        <v>0</v>
      </c>
      <c r="R50" s="325">
        <v>0</v>
      </c>
      <c r="S50" s="325">
        <v>0</v>
      </c>
      <c r="T50" s="325">
        <v>0</v>
      </c>
      <c r="U50" s="492">
        <f>O50+P50+Q50+R50+S50+T50</f>
        <v>0</v>
      </c>
      <c r="V50" s="325">
        <v>0</v>
      </c>
      <c r="W50" s="325">
        <v>0</v>
      </c>
      <c r="X50" s="325">
        <v>0</v>
      </c>
      <c r="Y50" s="492">
        <f>V50+W50+X50</f>
        <v>0</v>
      </c>
      <c r="Z50" s="492">
        <f>U50+Y50</f>
        <v>0</v>
      </c>
      <c r="AA50" s="494">
        <f>ROUND((U50+Y50)*33.8%,0)</f>
        <v>0</v>
      </c>
      <c r="AB50" s="494">
        <f>ROUND(U50*1%,0)</f>
        <v>0</v>
      </c>
      <c r="AC50" s="492">
        <v>0</v>
      </c>
      <c r="AD50" s="789">
        <f>Z50+AA50+AB50+AC50</f>
        <v>0</v>
      </c>
      <c r="AE50" s="715">
        <v>0</v>
      </c>
      <c r="AF50" s="582">
        <v>0</v>
      </c>
      <c r="AG50" s="326">
        <v>0</v>
      </c>
      <c r="AH50" s="326">
        <v>0</v>
      </c>
      <c r="AI50" s="326">
        <v>0</v>
      </c>
      <c r="AJ50" s="326">
        <v>0</v>
      </c>
      <c r="AK50" s="626">
        <f>SUM(AE50:AJ50)</f>
        <v>0</v>
      </c>
      <c r="AL50" s="696">
        <f>I50+AD50</f>
        <v>1691511</v>
      </c>
      <c r="AM50" s="492">
        <f>J50+U50</f>
        <v>1254830</v>
      </c>
      <c r="AN50" s="492">
        <f>Y50</f>
        <v>0</v>
      </c>
      <c r="AO50" s="492">
        <f>K50+AA50</f>
        <v>424133</v>
      </c>
      <c r="AP50" s="492">
        <f>L50+AB50</f>
        <v>12548</v>
      </c>
      <c r="AQ50" s="492">
        <f>M50+AC50</f>
        <v>0</v>
      </c>
      <c r="AR50" s="626">
        <f>N50+AK50</f>
        <v>2</v>
      </c>
      <c r="AS50" s="240"/>
    </row>
    <row r="51" spans="1:45" ht="12.95" customHeight="1" x14ac:dyDescent="0.25">
      <c r="A51" s="249">
        <v>9</v>
      </c>
      <c r="B51" s="250">
        <v>5414</v>
      </c>
      <c r="C51" s="251">
        <v>600099008</v>
      </c>
      <c r="D51" s="250">
        <v>70695555</v>
      </c>
      <c r="E51" s="274" t="s">
        <v>411</v>
      </c>
      <c r="F51" s="250"/>
      <c r="G51" s="275"/>
      <c r="H51" s="568"/>
      <c r="I51" s="664">
        <f t="shared" ref="I51:AR51" si="81">SUM(I50:I50)</f>
        <v>1691511</v>
      </c>
      <c r="J51" s="679">
        <f t="shared" si="81"/>
        <v>1254830</v>
      </c>
      <c r="K51" s="355">
        <f t="shared" si="81"/>
        <v>424133</v>
      </c>
      <c r="L51" s="355">
        <f t="shared" si="81"/>
        <v>12548</v>
      </c>
      <c r="M51" s="355">
        <f t="shared" ref="M51" si="82">SUM(M50:M50)</f>
        <v>0</v>
      </c>
      <c r="N51" s="753">
        <f t="shared" si="81"/>
        <v>2</v>
      </c>
      <c r="O51" s="442">
        <f t="shared" si="81"/>
        <v>0</v>
      </c>
      <c r="P51" s="442">
        <f t="shared" si="81"/>
        <v>0</v>
      </c>
      <c r="Q51" s="355">
        <f t="shared" si="81"/>
        <v>0</v>
      </c>
      <c r="R51" s="355">
        <f t="shared" si="81"/>
        <v>0</v>
      </c>
      <c r="S51" s="355">
        <f t="shared" si="81"/>
        <v>0</v>
      </c>
      <c r="T51" s="355">
        <f t="shared" si="81"/>
        <v>0</v>
      </c>
      <c r="U51" s="355">
        <f t="shared" si="81"/>
        <v>0</v>
      </c>
      <c r="V51" s="355">
        <f t="shared" si="81"/>
        <v>0</v>
      </c>
      <c r="W51" s="355">
        <f t="shared" si="81"/>
        <v>0</v>
      </c>
      <c r="X51" s="355">
        <f t="shared" si="81"/>
        <v>0</v>
      </c>
      <c r="Y51" s="355">
        <f t="shared" si="81"/>
        <v>0</v>
      </c>
      <c r="Z51" s="355">
        <f t="shared" si="81"/>
        <v>0</v>
      </c>
      <c r="AA51" s="355">
        <f t="shared" si="81"/>
        <v>0</v>
      </c>
      <c r="AB51" s="355">
        <f t="shared" si="81"/>
        <v>0</v>
      </c>
      <c r="AC51" s="355">
        <f t="shared" si="81"/>
        <v>0</v>
      </c>
      <c r="AD51" s="683">
        <f t="shared" si="81"/>
        <v>0</v>
      </c>
      <c r="AE51" s="839">
        <f t="shared" si="81"/>
        <v>0</v>
      </c>
      <c r="AF51" s="356">
        <f t="shared" si="81"/>
        <v>0</v>
      </c>
      <c r="AG51" s="356">
        <f t="shared" si="81"/>
        <v>0</v>
      </c>
      <c r="AH51" s="356">
        <f t="shared" si="81"/>
        <v>0</v>
      </c>
      <c r="AI51" s="356">
        <f t="shared" si="81"/>
        <v>0</v>
      </c>
      <c r="AJ51" s="356">
        <f t="shared" si="81"/>
        <v>0</v>
      </c>
      <c r="AK51" s="253">
        <f t="shared" si="81"/>
        <v>0</v>
      </c>
      <c r="AL51" s="686">
        <f t="shared" si="81"/>
        <v>1691511</v>
      </c>
      <c r="AM51" s="442">
        <f t="shared" si="81"/>
        <v>1254830</v>
      </c>
      <c r="AN51" s="355">
        <f t="shared" si="81"/>
        <v>0</v>
      </c>
      <c r="AO51" s="355">
        <f t="shared" si="81"/>
        <v>424133</v>
      </c>
      <c r="AP51" s="355">
        <f t="shared" si="81"/>
        <v>12548</v>
      </c>
      <c r="AQ51" s="355">
        <f t="shared" si="81"/>
        <v>0</v>
      </c>
      <c r="AR51" s="253">
        <f t="shared" si="81"/>
        <v>2</v>
      </c>
      <c r="AS51" s="240"/>
    </row>
    <row r="52" spans="1:45" ht="12.95" customHeight="1" x14ac:dyDescent="0.25">
      <c r="A52" s="205">
        <v>10</v>
      </c>
      <c r="B52" s="246">
        <v>5483</v>
      </c>
      <c r="C52" s="247">
        <v>600098460</v>
      </c>
      <c r="D52" s="206">
        <v>72745207</v>
      </c>
      <c r="E52" s="273" t="s">
        <v>412</v>
      </c>
      <c r="F52" s="246">
        <v>3111</v>
      </c>
      <c r="G52" s="270" t="s">
        <v>290</v>
      </c>
      <c r="H52" s="209" t="s">
        <v>262</v>
      </c>
      <c r="I52" s="586">
        <f t="shared" ref="I52:I53" si="83">SUM(J52:M52)</f>
        <v>1690778</v>
      </c>
      <c r="J52" s="678">
        <v>1254286</v>
      </c>
      <c r="K52" s="55">
        <f t="shared" ref="K52:K53" si="84">ROUND(J52*33.8%,0)</f>
        <v>423949</v>
      </c>
      <c r="L52" s="55">
        <f t="shared" ref="L52:L53" si="85">ROUND(J52*1%,0)</f>
        <v>12543</v>
      </c>
      <c r="M52" s="325">
        <v>0</v>
      </c>
      <c r="N52" s="752">
        <v>2.1718000000000002</v>
      </c>
      <c r="O52" s="445">
        <f>V52*-1</f>
        <v>-20700</v>
      </c>
      <c r="P52" s="578">
        <v>0</v>
      </c>
      <c r="Q52" s="325">
        <v>0</v>
      </c>
      <c r="R52" s="325">
        <v>0</v>
      </c>
      <c r="S52" s="325">
        <v>0</v>
      </c>
      <c r="T52" s="325">
        <v>0</v>
      </c>
      <c r="U52" s="492">
        <f>O52+P52+Q52+R52+S52+T52</f>
        <v>-20700</v>
      </c>
      <c r="V52" s="325">
        <v>20700</v>
      </c>
      <c r="W52" s="325">
        <v>0</v>
      </c>
      <c r="X52" s="325">
        <v>0</v>
      </c>
      <c r="Y52" s="492">
        <f t="shared" ref="Y52:Y53" si="86">V52+W52+X52</f>
        <v>20700</v>
      </c>
      <c r="Z52" s="492">
        <f t="shared" ref="Z52:Z53" si="87">U52+Y52</f>
        <v>0</v>
      </c>
      <c r="AA52" s="494">
        <f t="shared" ref="AA52:AA53" si="88">ROUND((U52+Y52)*33.8%,0)</f>
        <v>0</v>
      </c>
      <c r="AB52" s="494">
        <f t="shared" ref="AB52:AB53" si="89">ROUND(U52*1%,0)</f>
        <v>-207</v>
      </c>
      <c r="AC52" s="492">
        <v>0</v>
      </c>
      <c r="AD52" s="789">
        <f t="shared" ref="AD52:AD53" si="90">Z52+AA52+AB52+AC52</f>
        <v>-207</v>
      </c>
      <c r="AE52" s="715">
        <v>-0.03</v>
      </c>
      <c r="AF52" s="582">
        <v>0</v>
      </c>
      <c r="AG52" s="326">
        <v>0</v>
      </c>
      <c r="AH52" s="326">
        <v>0</v>
      </c>
      <c r="AI52" s="326">
        <v>0</v>
      </c>
      <c r="AJ52" s="326">
        <v>0</v>
      </c>
      <c r="AK52" s="626">
        <f>SUM(AE52:AJ52)</f>
        <v>-0.03</v>
      </c>
      <c r="AL52" s="696">
        <f>I52+AD52</f>
        <v>1690571</v>
      </c>
      <c r="AM52" s="492">
        <f>J52+U52</f>
        <v>1233586</v>
      </c>
      <c r="AN52" s="492">
        <f>Y52</f>
        <v>20700</v>
      </c>
      <c r="AO52" s="492">
        <f t="shared" ref="AO52:AQ53" si="91">K52+AA52</f>
        <v>423949</v>
      </c>
      <c r="AP52" s="492">
        <f t="shared" si="91"/>
        <v>12336</v>
      </c>
      <c r="AQ52" s="492">
        <f t="shared" si="91"/>
        <v>0</v>
      </c>
      <c r="AR52" s="626">
        <f>N52+AK52</f>
        <v>2.1418000000000004</v>
      </c>
      <c r="AS52" s="240"/>
    </row>
    <row r="53" spans="1:45" ht="12.95" customHeight="1" x14ac:dyDescent="0.25">
      <c r="A53" s="205">
        <v>10</v>
      </c>
      <c r="B53" s="246">
        <v>5483</v>
      </c>
      <c r="C53" s="247">
        <v>600098460</v>
      </c>
      <c r="D53" s="206">
        <v>72745207</v>
      </c>
      <c r="E53" s="273" t="s">
        <v>412</v>
      </c>
      <c r="F53" s="246">
        <v>3111</v>
      </c>
      <c r="G53" s="209" t="s">
        <v>278</v>
      </c>
      <c r="H53" s="209" t="s">
        <v>263</v>
      </c>
      <c r="I53" s="586">
        <f t="shared" si="83"/>
        <v>0</v>
      </c>
      <c r="J53" s="678"/>
      <c r="K53" s="55">
        <f t="shared" si="84"/>
        <v>0</v>
      </c>
      <c r="L53" s="55">
        <f t="shared" si="85"/>
        <v>0</v>
      </c>
      <c r="M53" s="325">
        <v>0</v>
      </c>
      <c r="N53" s="752"/>
      <c r="O53" s="440">
        <f>V53*-1</f>
        <v>0</v>
      </c>
      <c r="P53" s="578">
        <v>0</v>
      </c>
      <c r="Q53" s="325">
        <v>0</v>
      </c>
      <c r="R53" s="325">
        <v>0</v>
      </c>
      <c r="S53" s="325">
        <v>0</v>
      </c>
      <c r="T53" s="325">
        <v>0</v>
      </c>
      <c r="U53" s="492">
        <f>O53+P53+Q53+R53+S53+T53</f>
        <v>0</v>
      </c>
      <c r="V53" s="325">
        <v>0</v>
      </c>
      <c r="W53" s="325">
        <v>0</v>
      </c>
      <c r="X53" s="325">
        <v>0</v>
      </c>
      <c r="Y53" s="492">
        <f t="shared" si="86"/>
        <v>0</v>
      </c>
      <c r="Z53" s="492">
        <f t="shared" si="87"/>
        <v>0</v>
      </c>
      <c r="AA53" s="494">
        <f t="shared" si="88"/>
        <v>0</v>
      </c>
      <c r="AB53" s="494">
        <f t="shared" si="89"/>
        <v>0</v>
      </c>
      <c r="AC53" s="492">
        <v>0</v>
      </c>
      <c r="AD53" s="789">
        <f t="shared" si="90"/>
        <v>0</v>
      </c>
      <c r="AE53" s="715">
        <v>0</v>
      </c>
      <c r="AF53" s="582">
        <v>0</v>
      </c>
      <c r="AG53" s="326">
        <v>0</v>
      </c>
      <c r="AH53" s="326">
        <v>0</v>
      </c>
      <c r="AI53" s="326">
        <v>0</v>
      </c>
      <c r="AJ53" s="326">
        <v>0</v>
      </c>
      <c r="AK53" s="626">
        <f>SUM(AE53:AJ53)</f>
        <v>0</v>
      </c>
      <c r="AL53" s="696">
        <f>I53+AD53</f>
        <v>0</v>
      </c>
      <c r="AM53" s="492">
        <f>J53+U53</f>
        <v>0</v>
      </c>
      <c r="AN53" s="492">
        <f>Y53</f>
        <v>0</v>
      </c>
      <c r="AO53" s="492">
        <f t="shared" si="91"/>
        <v>0</v>
      </c>
      <c r="AP53" s="492">
        <f t="shared" si="91"/>
        <v>0</v>
      </c>
      <c r="AQ53" s="492">
        <f t="shared" si="91"/>
        <v>0</v>
      </c>
      <c r="AR53" s="626">
        <f>N53+AK53</f>
        <v>0</v>
      </c>
      <c r="AS53" s="240"/>
    </row>
    <row r="54" spans="1:45" ht="12.95" customHeight="1" x14ac:dyDescent="0.25">
      <c r="A54" s="198">
        <v>10</v>
      </c>
      <c r="B54" s="250">
        <v>5483</v>
      </c>
      <c r="C54" s="251">
        <v>600098460</v>
      </c>
      <c r="D54" s="250">
        <v>72745207</v>
      </c>
      <c r="E54" s="274" t="s">
        <v>413</v>
      </c>
      <c r="F54" s="250"/>
      <c r="G54" s="275"/>
      <c r="H54" s="568"/>
      <c r="I54" s="664">
        <f t="shared" ref="I54:AR54" si="92">SUM(I52:I53)</f>
        <v>1690778</v>
      </c>
      <c r="J54" s="679">
        <f t="shared" si="92"/>
        <v>1254286</v>
      </c>
      <c r="K54" s="355">
        <f t="shared" si="92"/>
        <v>423949</v>
      </c>
      <c r="L54" s="355">
        <f t="shared" si="92"/>
        <v>12543</v>
      </c>
      <c r="M54" s="355">
        <f t="shared" ref="M54" si="93">SUM(M52:M53)</f>
        <v>0</v>
      </c>
      <c r="N54" s="753">
        <f t="shared" si="92"/>
        <v>2.1718000000000002</v>
      </c>
      <c r="O54" s="442">
        <f t="shared" si="92"/>
        <v>-20700</v>
      </c>
      <c r="P54" s="442">
        <f t="shared" si="92"/>
        <v>0</v>
      </c>
      <c r="Q54" s="355">
        <f t="shared" si="92"/>
        <v>0</v>
      </c>
      <c r="R54" s="355">
        <f t="shared" si="92"/>
        <v>0</v>
      </c>
      <c r="S54" s="355">
        <f t="shared" si="92"/>
        <v>0</v>
      </c>
      <c r="T54" s="355">
        <f t="shared" si="92"/>
        <v>0</v>
      </c>
      <c r="U54" s="355">
        <f t="shared" si="92"/>
        <v>-20700</v>
      </c>
      <c r="V54" s="355">
        <f t="shared" si="92"/>
        <v>20700</v>
      </c>
      <c r="W54" s="355">
        <f t="shared" si="92"/>
        <v>0</v>
      </c>
      <c r="X54" s="355">
        <f t="shared" si="92"/>
        <v>0</v>
      </c>
      <c r="Y54" s="355">
        <f t="shared" si="92"/>
        <v>20700</v>
      </c>
      <c r="Z54" s="355">
        <f t="shared" si="92"/>
        <v>0</v>
      </c>
      <c r="AA54" s="355">
        <f t="shared" si="92"/>
        <v>0</v>
      </c>
      <c r="AB54" s="355">
        <f t="shared" si="92"/>
        <v>-207</v>
      </c>
      <c r="AC54" s="355">
        <f t="shared" si="92"/>
        <v>0</v>
      </c>
      <c r="AD54" s="683">
        <f t="shared" si="92"/>
        <v>-207</v>
      </c>
      <c r="AE54" s="839">
        <f t="shared" si="92"/>
        <v>-0.03</v>
      </c>
      <c r="AF54" s="356">
        <f t="shared" si="92"/>
        <v>0</v>
      </c>
      <c r="AG54" s="356">
        <f t="shared" si="92"/>
        <v>0</v>
      </c>
      <c r="AH54" s="356">
        <f t="shared" si="92"/>
        <v>0</v>
      </c>
      <c r="AI54" s="356">
        <f t="shared" si="92"/>
        <v>0</v>
      </c>
      <c r="AJ54" s="356">
        <f t="shared" si="92"/>
        <v>0</v>
      </c>
      <c r="AK54" s="253">
        <f t="shared" si="92"/>
        <v>-0.03</v>
      </c>
      <c r="AL54" s="686">
        <f t="shared" si="92"/>
        <v>1690571</v>
      </c>
      <c r="AM54" s="442">
        <f t="shared" si="92"/>
        <v>1233586</v>
      </c>
      <c r="AN54" s="355">
        <f t="shared" si="92"/>
        <v>20700</v>
      </c>
      <c r="AO54" s="355">
        <f t="shared" si="92"/>
        <v>423949</v>
      </c>
      <c r="AP54" s="355">
        <f t="shared" si="92"/>
        <v>12336</v>
      </c>
      <c r="AQ54" s="355">
        <f t="shared" si="92"/>
        <v>0</v>
      </c>
      <c r="AR54" s="253">
        <f t="shared" si="92"/>
        <v>2.1418000000000004</v>
      </c>
      <c r="AS54" s="240"/>
    </row>
    <row r="55" spans="1:45" ht="12.95" customHeight="1" x14ac:dyDescent="0.25">
      <c r="A55" s="205">
        <v>11</v>
      </c>
      <c r="B55" s="246">
        <v>5430</v>
      </c>
      <c r="C55" s="247">
        <v>650026144</v>
      </c>
      <c r="D55" s="206">
        <v>70695148</v>
      </c>
      <c r="E55" s="273" t="s">
        <v>414</v>
      </c>
      <c r="F55" s="246">
        <v>3111</v>
      </c>
      <c r="G55" s="270" t="s">
        <v>290</v>
      </c>
      <c r="H55" s="209" t="s">
        <v>262</v>
      </c>
      <c r="I55" s="586">
        <f t="shared" ref="I55:I58" si="94">SUM(J55:M55)</f>
        <v>2234066</v>
      </c>
      <c r="J55" s="678">
        <v>1657319</v>
      </c>
      <c r="K55" s="55">
        <f t="shared" ref="K55:K58" si="95">ROUND(J55*33.8%,0)</f>
        <v>560174</v>
      </c>
      <c r="L55" s="55">
        <f t="shared" ref="L55:L58" si="96">ROUND(J55*1%,0)</f>
        <v>16573</v>
      </c>
      <c r="M55" s="325">
        <v>0</v>
      </c>
      <c r="N55" s="752">
        <v>3</v>
      </c>
      <c r="O55" s="445">
        <f t="shared" ref="O55:O58" si="97">V55*-1</f>
        <v>-6000</v>
      </c>
      <c r="P55" s="578">
        <v>0</v>
      </c>
      <c r="Q55" s="325">
        <v>0</v>
      </c>
      <c r="R55" s="325">
        <v>0</v>
      </c>
      <c r="S55" s="325">
        <v>0</v>
      </c>
      <c r="T55" s="325">
        <v>0</v>
      </c>
      <c r="U55" s="492">
        <f>O55+P55+Q55+R55+S55+T55</f>
        <v>-6000</v>
      </c>
      <c r="V55" s="325">
        <v>6000</v>
      </c>
      <c r="W55" s="325">
        <v>0</v>
      </c>
      <c r="X55" s="325">
        <v>0</v>
      </c>
      <c r="Y55" s="492">
        <f t="shared" ref="Y55:Y58" si="98">V55+W55+X55</f>
        <v>6000</v>
      </c>
      <c r="Z55" s="492">
        <f t="shared" ref="Z55:Z58" si="99">U55+Y55</f>
        <v>0</v>
      </c>
      <c r="AA55" s="494">
        <f t="shared" ref="AA55:AA58" si="100">ROUND((U55+Y55)*33.8%,0)</f>
        <v>0</v>
      </c>
      <c r="AB55" s="494">
        <f t="shared" ref="AB55:AB58" si="101">ROUND(U55*1%,0)</f>
        <v>-60</v>
      </c>
      <c r="AC55" s="492">
        <v>0</v>
      </c>
      <c r="AD55" s="789">
        <f t="shared" ref="AD55:AD58" si="102">Z55+AA55+AB55+AC55</f>
        <v>-60</v>
      </c>
      <c r="AE55" s="715">
        <v>0</v>
      </c>
      <c r="AF55" s="582">
        <v>0</v>
      </c>
      <c r="AG55" s="326">
        <v>0</v>
      </c>
      <c r="AH55" s="326">
        <v>0</v>
      </c>
      <c r="AI55" s="326">
        <v>0</v>
      </c>
      <c r="AJ55" s="326">
        <v>0</v>
      </c>
      <c r="AK55" s="626">
        <f>SUM(AE55:AJ55)</f>
        <v>0</v>
      </c>
      <c r="AL55" s="696">
        <f>I55+AD55</f>
        <v>2234006</v>
      </c>
      <c r="AM55" s="492">
        <f>J55+U55</f>
        <v>1651319</v>
      </c>
      <c r="AN55" s="492">
        <f>Y55</f>
        <v>6000</v>
      </c>
      <c r="AO55" s="492">
        <f t="shared" ref="AO55:AQ58" si="103">K55+AA55</f>
        <v>560174</v>
      </c>
      <c r="AP55" s="492">
        <f t="shared" si="103"/>
        <v>16513</v>
      </c>
      <c r="AQ55" s="492">
        <f t="shared" si="103"/>
        <v>0</v>
      </c>
      <c r="AR55" s="626">
        <f>N55+AK55</f>
        <v>3</v>
      </c>
      <c r="AS55" s="240"/>
    </row>
    <row r="56" spans="1:45" ht="12.95" customHeight="1" x14ac:dyDescent="0.25">
      <c r="A56" s="205">
        <v>11</v>
      </c>
      <c r="B56" s="246">
        <v>5430</v>
      </c>
      <c r="C56" s="247">
        <v>650026144</v>
      </c>
      <c r="D56" s="206">
        <v>70695148</v>
      </c>
      <c r="E56" s="273" t="s">
        <v>414</v>
      </c>
      <c r="F56" s="246">
        <v>3117</v>
      </c>
      <c r="G56" s="270" t="s">
        <v>294</v>
      </c>
      <c r="H56" s="209" t="s">
        <v>262</v>
      </c>
      <c r="I56" s="586">
        <f t="shared" si="94"/>
        <v>3175215</v>
      </c>
      <c r="J56" s="678">
        <v>2355501</v>
      </c>
      <c r="K56" s="55">
        <f t="shared" si="95"/>
        <v>796159</v>
      </c>
      <c r="L56" s="55">
        <f t="shared" si="96"/>
        <v>23555</v>
      </c>
      <c r="M56" s="325">
        <v>0</v>
      </c>
      <c r="N56" s="752">
        <v>3.3635999999999999</v>
      </c>
      <c r="O56" s="440">
        <f t="shared" si="97"/>
        <v>-6000</v>
      </c>
      <c r="P56" s="578">
        <v>0</v>
      </c>
      <c r="Q56" s="325">
        <v>0</v>
      </c>
      <c r="R56" s="325">
        <v>0</v>
      </c>
      <c r="S56" s="325">
        <v>0</v>
      </c>
      <c r="T56" s="325">
        <v>0</v>
      </c>
      <c r="U56" s="492">
        <f>O56+P56+Q56+R56+S56+T56</f>
        <v>-6000</v>
      </c>
      <c r="V56" s="325">
        <v>6000</v>
      </c>
      <c r="W56" s="325">
        <v>0</v>
      </c>
      <c r="X56" s="325">
        <v>0</v>
      </c>
      <c r="Y56" s="492">
        <f t="shared" si="98"/>
        <v>6000</v>
      </c>
      <c r="Z56" s="492">
        <f t="shared" si="99"/>
        <v>0</v>
      </c>
      <c r="AA56" s="494">
        <f t="shared" si="100"/>
        <v>0</v>
      </c>
      <c r="AB56" s="494">
        <f t="shared" si="101"/>
        <v>-60</v>
      </c>
      <c r="AC56" s="492">
        <v>0</v>
      </c>
      <c r="AD56" s="789">
        <f t="shared" si="102"/>
        <v>-60</v>
      </c>
      <c r="AE56" s="715">
        <v>0</v>
      </c>
      <c r="AF56" s="582">
        <v>0</v>
      </c>
      <c r="AG56" s="326">
        <v>0</v>
      </c>
      <c r="AH56" s="326">
        <v>0</v>
      </c>
      <c r="AI56" s="326">
        <v>0</v>
      </c>
      <c r="AJ56" s="326">
        <v>0</v>
      </c>
      <c r="AK56" s="626">
        <f>SUM(AE56:AJ56)</f>
        <v>0</v>
      </c>
      <c r="AL56" s="696">
        <f>I56+AD56</f>
        <v>3175155</v>
      </c>
      <c r="AM56" s="492">
        <f>J56+U56</f>
        <v>2349501</v>
      </c>
      <c r="AN56" s="492">
        <f>Y56</f>
        <v>6000</v>
      </c>
      <c r="AO56" s="492">
        <f t="shared" si="103"/>
        <v>796159</v>
      </c>
      <c r="AP56" s="492">
        <f t="shared" si="103"/>
        <v>23495</v>
      </c>
      <c r="AQ56" s="492">
        <f t="shared" si="103"/>
        <v>0</v>
      </c>
      <c r="AR56" s="626">
        <f>N56+AK56</f>
        <v>3.3635999999999999</v>
      </c>
      <c r="AS56" s="240"/>
    </row>
    <row r="57" spans="1:45" ht="12.95" customHeight="1" x14ac:dyDescent="0.25">
      <c r="A57" s="205">
        <v>11</v>
      </c>
      <c r="B57" s="246">
        <v>5430</v>
      </c>
      <c r="C57" s="247">
        <v>650026144</v>
      </c>
      <c r="D57" s="206">
        <v>70695148</v>
      </c>
      <c r="E57" s="273" t="s">
        <v>414</v>
      </c>
      <c r="F57" s="246">
        <v>3117</v>
      </c>
      <c r="G57" s="209" t="s">
        <v>278</v>
      </c>
      <c r="H57" s="209" t="s">
        <v>263</v>
      </c>
      <c r="I57" s="586">
        <f t="shared" si="94"/>
        <v>0</v>
      </c>
      <c r="J57" s="678"/>
      <c r="K57" s="55">
        <f t="shared" si="95"/>
        <v>0</v>
      </c>
      <c r="L57" s="55">
        <f t="shared" si="96"/>
        <v>0</v>
      </c>
      <c r="M57" s="325">
        <v>0</v>
      </c>
      <c r="N57" s="752"/>
      <c r="O57" s="440">
        <f t="shared" si="97"/>
        <v>0</v>
      </c>
      <c r="P57" s="578">
        <v>396847</v>
      </c>
      <c r="Q57" s="325">
        <v>0</v>
      </c>
      <c r="R57" s="325">
        <v>0</v>
      </c>
      <c r="S57" s="325">
        <v>0</v>
      </c>
      <c r="T57" s="325">
        <v>0</v>
      </c>
      <c r="U57" s="492">
        <f>O57+P57+Q57+R57+S57+T57</f>
        <v>396847</v>
      </c>
      <c r="V57" s="325">
        <v>0</v>
      </c>
      <c r="W57" s="325">
        <v>0</v>
      </c>
      <c r="X57" s="325">
        <v>0</v>
      </c>
      <c r="Y57" s="492">
        <f t="shared" si="98"/>
        <v>0</v>
      </c>
      <c r="Z57" s="492">
        <f t="shared" si="99"/>
        <v>396847</v>
      </c>
      <c r="AA57" s="494">
        <f t="shared" si="100"/>
        <v>134134</v>
      </c>
      <c r="AB57" s="494">
        <f t="shared" si="101"/>
        <v>3968</v>
      </c>
      <c r="AC57" s="492">
        <v>0</v>
      </c>
      <c r="AD57" s="789">
        <f t="shared" si="102"/>
        <v>534949</v>
      </c>
      <c r="AE57" s="715">
        <v>0</v>
      </c>
      <c r="AF57" s="582">
        <v>1</v>
      </c>
      <c r="AG57" s="326">
        <v>0</v>
      </c>
      <c r="AH57" s="326">
        <v>0</v>
      </c>
      <c r="AI57" s="326">
        <v>0</v>
      </c>
      <c r="AJ57" s="326">
        <v>0</v>
      </c>
      <c r="AK57" s="626">
        <f>SUM(AE57:AJ57)</f>
        <v>1</v>
      </c>
      <c r="AL57" s="696">
        <f>I57+AD57</f>
        <v>534949</v>
      </c>
      <c r="AM57" s="492">
        <f>J57+U57</f>
        <v>396847</v>
      </c>
      <c r="AN57" s="492">
        <f>Y57</f>
        <v>0</v>
      </c>
      <c r="AO57" s="492">
        <f t="shared" si="103"/>
        <v>134134</v>
      </c>
      <c r="AP57" s="492">
        <f t="shared" si="103"/>
        <v>3968</v>
      </c>
      <c r="AQ57" s="492">
        <f t="shared" si="103"/>
        <v>0</v>
      </c>
      <c r="AR57" s="626">
        <f>N57+AK57</f>
        <v>1</v>
      </c>
      <c r="AS57" s="240"/>
    </row>
    <row r="58" spans="1:45" ht="12.95" customHeight="1" x14ac:dyDescent="0.25">
      <c r="A58" s="205">
        <v>11</v>
      </c>
      <c r="B58" s="246">
        <v>5430</v>
      </c>
      <c r="C58" s="247">
        <v>650026144</v>
      </c>
      <c r="D58" s="206">
        <v>70695148</v>
      </c>
      <c r="E58" s="273" t="s">
        <v>414</v>
      </c>
      <c r="F58" s="246">
        <v>3143</v>
      </c>
      <c r="G58" s="209" t="s">
        <v>794</v>
      </c>
      <c r="H58" s="209" t="s">
        <v>262</v>
      </c>
      <c r="I58" s="586">
        <f t="shared" si="94"/>
        <v>630940</v>
      </c>
      <c r="J58" s="678">
        <v>468056</v>
      </c>
      <c r="K58" s="55">
        <f t="shared" si="95"/>
        <v>158203</v>
      </c>
      <c r="L58" s="55">
        <f t="shared" si="96"/>
        <v>4681</v>
      </c>
      <c r="M58" s="325">
        <v>0</v>
      </c>
      <c r="N58" s="752">
        <v>0.88070000000000004</v>
      </c>
      <c r="O58" s="440">
        <f t="shared" si="97"/>
        <v>0</v>
      </c>
      <c r="P58" s="578">
        <v>0</v>
      </c>
      <c r="Q58" s="325">
        <v>0</v>
      </c>
      <c r="R58" s="325">
        <v>0</v>
      </c>
      <c r="S58" s="325">
        <v>0</v>
      </c>
      <c r="T58" s="325">
        <v>0</v>
      </c>
      <c r="U58" s="492">
        <f>O58+P58+Q58+R58+S58+T58</f>
        <v>0</v>
      </c>
      <c r="V58" s="325">
        <v>0</v>
      </c>
      <c r="W58" s="325">
        <v>0</v>
      </c>
      <c r="X58" s="325">
        <v>0</v>
      </c>
      <c r="Y58" s="492">
        <f t="shared" si="98"/>
        <v>0</v>
      </c>
      <c r="Z58" s="492">
        <f t="shared" si="99"/>
        <v>0</v>
      </c>
      <c r="AA58" s="494">
        <f t="shared" si="100"/>
        <v>0</v>
      </c>
      <c r="AB58" s="494">
        <f t="shared" si="101"/>
        <v>0</v>
      </c>
      <c r="AC58" s="492">
        <v>0</v>
      </c>
      <c r="AD58" s="789">
        <f t="shared" si="102"/>
        <v>0</v>
      </c>
      <c r="AE58" s="715">
        <v>0</v>
      </c>
      <c r="AF58" s="582">
        <v>0</v>
      </c>
      <c r="AG58" s="326">
        <v>0</v>
      </c>
      <c r="AH58" s="326">
        <v>0</v>
      </c>
      <c r="AI58" s="326">
        <v>0</v>
      </c>
      <c r="AJ58" s="326">
        <v>0</v>
      </c>
      <c r="AK58" s="626">
        <f>SUM(AE58:AJ58)</f>
        <v>0</v>
      </c>
      <c r="AL58" s="696">
        <f>I58+AD58</f>
        <v>630940</v>
      </c>
      <c r="AM58" s="492">
        <f>J58+U58</f>
        <v>468056</v>
      </c>
      <c r="AN58" s="492">
        <f>Y58</f>
        <v>0</v>
      </c>
      <c r="AO58" s="492">
        <f t="shared" si="103"/>
        <v>158203</v>
      </c>
      <c r="AP58" s="492">
        <f t="shared" si="103"/>
        <v>4681</v>
      </c>
      <c r="AQ58" s="492">
        <f t="shared" si="103"/>
        <v>0</v>
      </c>
      <c r="AR58" s="626">
        <f>N58+AK58</f>
        <v>0.88070000000000004</v>
      </c>
      <c r="AS58" s="240"/>
    </row>
    <row r="59" spans="1:45" ht="12.95" customHeight="1" x14ac:dyDescent="0.25">
      <c r="A59" s="198">
        <v>11</v>
      </c>
      <c r="B59" s="250">
        <v>5430</v>
      </c>
      <c r="C59" s="251">
        <v>650026144</v>
      </c>
      <c r="D59" s="250">
        <v>70695148</v>
      </c>
      <c r="E59" s="274" t="s">
        <v>415</v>
      </c>
      <c r="F59" s="250"/>
      <c r="G59" s="275"/>
      <c r="H59" s="568"/>
      <c r="I59" s="664">
        <f t="shared" ref="I59:AR59" si="104">SUM(I55:I58)</f>
        <v>6040221</v>
      </c>
      <c r="J59" s="679">
        <f t="shared" si="104"/>
        <v>4480876</v>
      </c>
      <c r="K59" s="355">
        <f t="shared" si="104"/>
        <v>1514536</v>
      </c>
      <c r="L59" s="355">
        <f t="shared" si="104"/>
        <v>44809</v>
      </c>
      <c r="M59" s="355">
        <f t="shared" ref="M59" si="105">SUM(M55:M58)</f>
        <v>0</v>
      </c>
      <c r="N59" s="753">
        <f t="shared" si="104"/>
        <v>7.2443</v>
      </c>
      <c r="O59" s="442">
        <f t="shared" si="104"/>
        <v>-12000</v>
      </c>
      <c r="P59" s="442">
        <f t="shared" si="104"/>
        <v>396847</v>
      </c>
      <c r="Q59" s="355">
        <f t="shared" si="104"/>
        <v>0</v>
      </c>
      <c r="R59" s="355">
        <f t="shared" si="104"/>
        <v>0</v>
      </c>
      <c r="S59" s="355">
        <f t="shared" si="104"/>
        <v>0</v>
      </c>
      <c r="T59" s="355">
        <f t="shared" si="104"/>
        <v>0</v>
      </c>
      <c r="U59" s="355">
        <f t="shared" si="104"/>
        <v>384847</v>
      </c>
      <c r="V59" s="355">
        <f t="shared" si="104"/>
        <v>12000</v>
      </c>
      <c r="W59" s="355">
        <f t="shared" si="104"/>
        <v>0</v>
      </c>
      <c r="X59" s="355">
        <f t="shared" si="104"/>
        <v>0</v>
      </c>
      <c r="Y59" s="355">
        <f t="shared" si="104"/>
        <v>12000</v>
      </c>
      <c r="Z59" s="355">
        <f t="shared" si="104"/>
        <v>396847</v>
      </c>
      <c r="AA59" s="355">
        <f t="shared" si="104"/>
        <v>134134</v>
      </c>
      <c r="AB59" s="355">
        <f t="shared" si="104"/>
        <v>3848</v>
      </c>
      <c r="AC59" s="355">
        <f t="shared" si="104"/>
        <v>0</v>
      </c>
      <c r="AD59" s="683">
        <f t="shared" si="104"/>
        <v>534829</v>
      </c>
      <c r="AE59" s="839">
        <f t="shared" si="104"/>
        <v>0</v>
      </c>
      <c r="AF59" s="356">
        <f t="shared" si="104"/>
        <v>1</v>
      </c>
      <c r="AG59" s="356">
        <f t="shared" si="104"/>
        <v>0</v>
      </c>
      <c r="AH59" s="356">
        <f t="shared" si="104"/>
        <v>0</v>
      </c>
      <c r="AI59" s="356">
        <f t="shared" si="104"/>
        <v>0</v>
      </c>
      <c r="AJ59" s="356">
        <f t="shared" si="104"/>
        <v>0</v>
      </c>
      <c r="AK59" s="253">
        <f t="shared" si="104"/>
        <v>1</v>
      </c>
      <c r="AL59" s="686">
        <f t="shared" si="104"/>
        <v>6575050</v>
      </c>
      <c r="AM59" s="442">
        <f t="shared" si="104"/>
        <v>4865723</v>
      </c>
      <c r="AN59" s="355">
        <f t="shared" si="104"/>
        <v>12000</v>
      </c>
      <c r="AO59" s="355">
        <f t="shared" si="104"/>
        <v>1648670</v>
      </c>
      <c r="AP59" s="355">
        <f t="shared" si="104"/>
        <v>48657</v>
      </c>
      <c r="AQ59" s="355">
        <f t="shared" si="104"/>
        <v>0</v>
      </c>
      <c r="AR59" s="253">
        <f t="shared" si="104"/>
        <v>8.2442999999999991</v>
      </c>
      <c r="AS59" s="240"/>
    </row>
    <row r="60" spans="1:45" ht="12.95" customHeight="1" x14ac:dyDescent="0.25">
      <c r="A60" s="205">
        <v>12</v>
      </c>
      <c r="B60" s="246">
        <v>5431</v>
      </c>
      <c r="C60" s="247">
        <v>600099016</v>
      </c>
      <c r="D60" s="206">
        <v>70698112</v>
      </c>
      <c r="E60" s="273" t="s">
        <v>416</v>
      </c>
      <c r="F60" s="246">
        <v>3111</v>
      </c>
      <c r="G60" s="270" t="s">
        <v>290</v>
      </c>
      <c r="H60" s="209" t="s">
        <v>262</v>
      </c>
      <c r="I60" s="586">
        <f t="shared" ref="I60:I63" si="106">SUM(J60:M60)</f>
        <v>1550785</v>
      </c>
      <c r="J60" s="678">
        <v>1150434</v>
      </c>
      <c r="K60" s="55">
        <f t="shared" ref="K60:K63" si="107">ROUND(J60*33.8%,0)</f>
        <v>388847</v>
      </c>
      <c r="L60" s="55">
        <f t="shared" ref="L60:L63" si="108">ROUND(J60*1%,0)</f>
        <v>11504</v>
      </c>
      <c r="M60" s="325">
        <v>0</v>
      </c>
      <c r="N60" s="752">
        <v>2</v>
      </c>
      <c r="O60" s="445">
        <f t="shared" ref="O60:O63" si="109">V60*-1</f>
        <v>0</v>
      </c>
      <c r="P60" s="578">
        <v>0</v>
      </c>
      <c r="Q60" s="325">
        <v>0</v>
      </c>
      <c r="R60" s="325">
        <v>0</v>
      </c>
      <c r="S60" s="325">
        <v>0</v>
      </c>
      <c r="T60" s="325">
        <v>0</v>
      </c>
      <c r="U60" s="492">
        <f>O60+P60+Q60+R60+S60+T60</f>
        <v>0</v>
      </c>
      <c r="V60" s="325">
        <v>0</v>
      </c>
      <c r="W60" s="325">
        <v>0</v>
      </c>
      <c r="X60" s="325">
        <v>0</v>
      </c>
      <c r="Y60" s="492">
        <f t="shared" ref="Y60:Y63" si="110">V60+W60+X60</f>
        <v>0</v>
      </c>
      <c r="Z60" s="492">
        <f t="shared" ref="Z60:Z63" si="111">U60+Y60</f>
        <v>0</v>
      </c>
      <c r="AA60" s="494">
        <f t="shared" ref="AA60:AA63" si="112">ROUND((U60+Y60)*33.8%,0)</f>
        <v>0</v>
      </c>
      <c r="AB60" s="494">
        <f t="shared" ref="AB60:AB63" si="113">ROUND(U60*1%,0)</f>
        <v>0</v>
      </c>
      <c r="AC60" s="492">
        <v>0</v>
      </c>
      <c r="AD60" s="789">
        <f t="shared" ref="AD60:AD63" si="114">Z60+AA60+AB60+AC60</f>
        <v>0</v>
      </c>
      <c r="AE60" s="715">
        <v>0</v>
      </c>
      <c r="AF60" s="582">
        <v>0</v>
      </c>
      <c r="AG60" s="326">
        <v>0</v>
      </c>
      <c r="AH60" s="326">
        <v>0</v>
      </c>
      <c r="AI60" s="326">
        <v>0</v>
      </c>
      <c r="AJ60" s="326">
        <v>0</v>
      </c>
      <c r="AK60" s="626">
        <f>SUM(AE60:AJ60)</f>
        <v>0</v>
      </c>
      <c r="AL60" s="696">
        <f>I60+AD60</f>
        <v>1550785</v>
      </c>
      <c r="AM60" s="492">
        <f>J60+U60</f>
        <v>1150434</v>
      </c>
      <c r="AN60" s="492">
        <f>Y60</f>
        <v>0</v>
      </c>
      <c r="AO60" s="492">
        <f t="shared" ref="AO60:AQ63" si="115">K60+AA60</f>
        <v>388847</v>
      </c>
      <c r="AP60" s="492">
        <f t="shared" si="115"/>
        <v>11504</v>
      </c>
      <c r="AQ60" s="492">
        <f t="shared" si="115"/>
        <v>0</v>
      </c>
      <c r="AR60" s="626">
        <f>N60+AK60</f>
        <v>2</v>
      </c>
      <c r="AS60" s="240"/>
    </row>
    <row r="61" spans="1:45" ht="12.95" customHeight="1" x14ac:dyDescent="0.25">
      <c r="A61" s="205">
        <v>12</v>
      </c>
      <c r="B61" s="246">
        <v>5431</v>
      </c>
      <c r="C61" s="247">
        <v>600099016</v>
      </c>
      <c r="D61" s="206">
        <v>70698112</v>
      </c>
      <c r="E61" s="273" t="s">
        <v>416</v>
      </c>
      <c r="F61" s="246">
        <v>3117</v>
      </c>
      <c r="G61" s="270" t="s">
        <v>294</v>
      </c>
      <c r="H61" s="209" t="s">
        <v>262</v>
      </c>
      <c r="I61" s="586">
        <f t="shared" si="106"/>
        <v>3144655</v>
      </c>
      <c r="J61" s="678">
        <v>2332831</v>
      </c>
      <c r="K61" s="55">
        <f>ROUND(J61*33.8%,0)-1</f>
        <v>788496</v>
      </c>
      <c r="L61" s="55">
        <f t="shared" si="108"/>
        <v>23328</v>
      </c>
      <c r="M61" s="325">
        <v>0</v>
      </c>
      <c r="N61" s="752">
        <v>3.7269999999999999</v>
      </c>
      <c r="O61" s="440">
        <f t="shared" si="109"/>
        <v>-9000</v>
      </c>
      <c r="P61" s="578">
        <v>0</v>
      </c>
      <c r="Q61" s="325">
        <v>0</v>
      </c>
      <c r="R61" s="325">
        <v>0</v>
      </c>
      <c r="S61" s="325">
        <v>0</v>
      </c>
      <c r="T61" s="325">
        <v>0</v>
      </c>
      <c r="U61" s="492">
        <f>O61+P61+Q61+R61+S61+T61</f>
        <v>-9000</v>
      </c>
      <c r="V61" s="325">
        <v>9000</v>
      </c>
      <c r="W61" s="325">
        <v>0</v>
      </c>
      <c r="X61" s="325">
        <v>0</v>
      </c>
      <c r="Y61" s="492">
        <f t="shared" si="110"/>
        <v>9000</v>
      </c>
      <c r="Z61" s="492">
        <f t="shared" si="111"/>
        <v>0</v>
      </c>
      <c r="AA61" s="494">
        <f t="shared" si="112"/>
        <v>0</v>
      </c>
      <c r="AB61" s="494">
        <f t="shared" si="113"/>
        <v>-90</v>
      </c>
      <c r="AC61" s="492">
        <v>0</v>
      </c>
      <c r="AD61" s="789">
        <f t="shared" si="114"/>
        <v>-90</v>
      </c>
      <c r="AE61" s="715">
        <v>-0.01</v>
      </c>
      <c r="AF61" s="582">
        <v>0</v>
      </c>
      <c r="AG61" s="326">
        <v>0</v>
      </c>
      <c r="AH61" s="326">
        <v>0</v>
      </c>
      <c r="AI61" s="326">
        <v>0</v>
      </c>
      <c r="AJ61" s="326">
        <v>0</v>
      </c>
      <c r="AK61" s="626">
        <f>SUM(AE61:AJ61)</f>
        <v>-0.01</v>
      </c>
      <c r="AL61" s="696">
        <f>I61+AD61</f>
        <v>3144565</v>
      </c>
      <c r="AM61" s="492">
        <f>J61+U61</f>
        <v>2323831</v>
      </c>
      <c r="AN61" s="492">
        <f>Y61</f>
        <v>9000</v>
      </c>
      <c r="AO61" s="492">
        <f t="shared" si="115"/>
        <v>788496</v>
      </c>
      <c r="AP61" s="492">
        <f t="shared" si="115"/>
        <v>23238</v>
      </c>
      <c r="AQ61" s="492">
        <f t="shared" si="115"/>
        <v>0</v>
      </c>
      <c r="AR61" s="626">
        <f>N61+AK61</f>
        <v>3.7170000000000001</v>
      </c>
      <c r="AS61" s="240"/>
    </row>
    <row r="62" spans="1:45" ht="12.95" customHeight="1" x14ac:dyDescent="0.25">
      <c r="A62" s="205">
        <v>12</v>
      </c>
      <c r="B62" s="246">
        <v>5431</v>
      </c>
      <c r="C62" s="247">
        <v>600099016</v>
      </c>
      <c r="D62" s="206">
        <v>70698112</v>
      </c>
      <c r="E62" s="273" t="s">
        <v>416</v>
      </c>
      <c r="F62" s="246">
        <v>3117</v>
      </c>
      <c r="G62" s="209" t="s">
        <v>278</v>
      </c>
      <c r="H62" s="209" t="s">
        <v>263</v>
      </c>
      <c r="I62" s="586">
        <f t="shared" si="106"/>
        <v>0</v>
      </c>
      <c r="J62" s="678"/>
      <c r="K62" s="55">
        <f t="shared" si="107"/>
        <v>0</v>
      </c>
      <c r="L62" s="55">
        <f t="shared" si="108"/>
        <v>0</v>
      </c>
      <c r="M62" s="325">
        <v>0</v>
      </c>
      <c r="N62" s="752"/>
      <c r="O62" s="440">
        <f t="shared" si="109"/>
        <v>0</v>
      </c>
      <c r="P62" s="578">
        <f>992120</f>
        <v>992120</v>
      </c>
      <c r="Q62" s="325">
        <v>0</v>
      </c>
      <c r="R62" s="325">
        <v>0</v>
      </c>
      <c r="S62" s="325">
        <v>0</v>
      </c>
      <c r="T62" s="325">
        <v>0</v>
      </c>
      <c r="U62" s="492">
        <f>O62+P62+Q62+R62+S62+T62</f>
        <v>992120</v>
      </c>
      <c r="V62" s="325">
        <v>0</v>
      </c>
      <c r="W62" s="325">
        <v>0</v>
      </c>
      <c r="X62" s="325">
        <v>0</v>
      </c>
      <c r="Y62" s="492">
        <f t="shared" si="110"/>
        <v>0</v>
      </c>
      <c r="Z62" s="492">
        <f t="shared" si="111"/>
        <v>992120</v>
      </c>
      <c r="AA62" s="494">
        <f t="shared" si="112"/>
        <v>335337</v>
      </c>
      <c r="AB62" s="494">
        <f t="shared" si="113"/>
        <v>9921</v>
      </c>
      <c r="AC62" s="492">
        <v>0</v>
      </c>
      <c r="AD62" s="789">
        <f t="shared" si="114"/>
        <v>1337378</v>
      </c>
      <c r="AE62" s="715">
        <v>0</v>
      </c>
      <c r="AF62" s="582">
        <f>2.5</f>
        <v>2.5</v>
      </c>
      <c r="AG62" s="326">
        <v>0</v>
      </c>
      <c r="AH62" s="326">
        <v>0</v>
      </c>
      <c r="AI62" s="326">
        <v>0</v>
      </c>
      <c r="AJ62" s="326">
        <v>0</v>
      </c>
      <c r="AK62" s="626">
        <f>SUM(AE62:AJ62)</f>
        <v>2.5</v>
      </c>
      <c r="AL62" s="696">
        <f>I62+AD62</f>
        <v>1337378</v>
      </c>
      <c r="AM62" s="492">
        <f>J62+U62</f>
        <v>992120</v>
      </c>
      <c r="AN62" s="492">
        <f>Y62</f>
        <v>0</v>
      </c>
      <c r="AO62" s="492">
        <f t="shared" si="115"/>
        <v>335337</v>
      </c>
      <c r="AP62" s="492">
        <f t="shared" si="115"/>
        <v>9921</v>
      </c>
      <c r="AQ62" s="492">
        <f t="shared" si="115"/>
        <v>0</v>
      </c>
      <c r="AR62" s="626">
        <f>N62+AK62</f>
        <v>2.5</v>
      </c>
      <c r="AS62" s="240"/>
    </row>
    <row r="63" spans="1:45" ht="12.95" customHeight="1" x14ac:dyDescent="0.25">
      <c r="A63" s="205">
        <v>12</v>
      </c>
      <c r="B63" s="246">
        <v>5431</v>
      </c>
      <c r="C63" s="247">
        <v>600099016</v>
      </c>
      <c r="D63" s="206">
        <v>70698112</v>
      </c>
      <c r="E63" s="273" t="s">
        <v>416</v>
      </c>
      <c r="F63" s="246">
        <v>3143</v>
      </c>
      <c r="G63" s="209" t="s">
        <v>795</v>
      </c>
      <c r="H63" s="209" t="s">
        <v>262</v>
      </c>
      <c r="I63" s="586">
        <f t="shared" si="106"/>
        <v>489954</v>
      </c>
      <c r="J63" s="678">
        <v>363467</v>
      </c>
      <c r="K63" s="55">
        <f t="shared" si="107"/>
        <v>122852</v>
      </c>
      <c r="L63" s="55">
        <f t="shared" si="108"/>
        <v>3635</v>
      </c>
      <c r="M63" s="325">
        <v>0</v>
      </c>
      <c r="N63" s="752">
        <v>0.71419999999999995</v>
      </c>
      <c r="O63" s="440">
        <f t="shared" si="109"/>
        <v>0</v>
      </c>
      <c r="P63" s="578">
        <v>0</v>
      </c>
      <c r="Q63" s="325">
        <v>0</v>
      </c>
      <c r="R63" s="325">
        <v>0</v>
      </c>
      <c r="S63" s="325">
        <v>0</v>
      </c>
      <c r="T63" s="325">
        <v>0</v>
      </c>
      <c r="U63" s="492">
        <f>O63+P63+Q63+R63+S63+T63</f>
        <v>0</v>
      </c>
      <c r="V63" s="325">
        <v>0</v>
      </c>
      <c r="W63" s="325">
        <v>0</v>
      </c>
      <c r="X63" s="325">
        <v>0</v>
      </c>
      <c r="Y63" s="492">
        <f t="shared" si="110"/>
        <v>0</v>
      </c>
      <c r="Z63" s="492">
        <f t="shared" si="111"/>
        <v>0</v>
      </c>
      <c r="AA63" s="494">
        <f t="shared" si="112"/>
        <v>0</v>
      </c>
      <c r="AB63" s="494">
        <f t="shared" si="113"/>
        <v>0</v>
      </c>
      <c r="AC63" s="492">
        <v>0</v>
      </c>
      <c r="AD63" s="789">
        <f t="shared" si="114"/>
        <v>0</v>
      </c>
      <c r="AE63" s="715">
        <v>0</v>
      </c>
      <c r="AF63" s="582">
        <v>0</v>
      </c>
      <c r="AG63" s="326">
        <v>0</v>
      </c>
      <c r="AH63" s="326">
        <v>0</v>
      </c>
      <c r="AI63" s="326">
        <v>0</v>
      </c>
      <c r="AJ63" s="326">
        <v>0</v>
      </c>
      <c r="AK63" s="626">
        <f>SUM(AE63:AJ63)</f>
        <v>0</v>
      </c>
      <c r="AL63" s="696">
        <f>I63+AD63</f>
        <v>489954</v>
      </c>
      <c r="AM63" s="492">
        <f>J63+U63</f>
        <v>363467</v>
      </c>
      <c r="AN63" s="492">
        <f>Y63</f>
        <v>0</v>
      </c>
      <c r="AO63" s="492">
        <f t="shared" si="115"/>
        <v>122852</v>
      </c>
      <c r="AP63" s="492">
        <f t="shared" si="115"/>
        <v>3635</v>
      </c>
      <c r="AQ63" s="492">
        <f t="shared" si="115"/>
        <v>0</v>
      </c>
      <c r="AR63" s="626">
        <f>N63+AK63</f>
        <v>0.71419999999999995</v>
      </c>
      <c r="AS63" s="240"/>
    </row>
    <row r="64" spans="1:45" ht="12.95" customHeight="1" x14ac:dyDescent="0.25">
      <c r="A64" s="198">
        <v>12</v>
      </c>
      <c r="B64" s="250">
        <v>5431</v>
      </c>
      <c r="C64" s="251">
        <v>600099016</v>
      </c>
      <c r="D64" s="250">
        <v>70698112</v>
      </c>
      <c r="E64" s="274" t="s">
        <v>417</v>
      </c>
      <c r="F64" s="277"/>
      <c r="G64" s="278"/>
      <c r="H64" s="569"/>
      <c r="I64" s="665">
        <f t="shared" ref="I64:AR64" si="116">SUM(I60:I63)</f>
        <v>5185394</v>
      </c>
      <c r="J64" s="680">
        <f t="shared" si="116"/>
        <v>3846732</v>
      </c>
      <c r="K64" s="357">
        <f t="shared" si="116"/>
        <v>1300195</v>
      </c>
      <c r="L64" s="357">
        <f t="shared" si="116"/>
        <v>38467</v>
      </c>
      <c r="M64" s="357">
        <f t="shared" ref="M64" si="117">SUM(M60:M63)</f>
        <v>0</v>
      </c>
      <c r="N64" s="756">
        <f t="shared" si="116"/>
        <v>6.4412000000000003</v>
      </c>
      <c r="O64" s="443">
        <f t="shared" si="116"/>
        <v>-9000</v>
      </c>
      <c r="P64" s="443">
        <f t="shared" si="116"/>
        <v>992120</v>
      </c>
      <c r="Q64" s="357">
        <f t="shared" si="116"/>
        <v>0</v>
      </c>
      <c r="R64" s="357">
        <f t="shared" si="116"/>
        <v>0</v>
      </c>
      <c r="S64" s="357">
        <f t="shared" si="116"/>
        <v>0</v>
      </c>
      <c r="T64" s="357">
        <f t="shared" si="116"/>
        <v>0</v>
      </c>
      <c r="U64" s="357">
        <f t="shared" si="116"/>
        <v>983120</v>
      </c>
      <c r="V64" s="357">
        <f t="shared" si="116"/>
        <v>9000</v>
      </c>
      <c r="W64" s="357">
        <f t="shared" si="116"/>
        <v>0</v>
      </c>
      <c r="X64" s="357">
        <f t="shared" si="116"/>
        <v>0</v>
      </c>
      <c r="Y64" s="357">
        <f t="shared" si="116"/>
        <v>9000</v>
      </c>
      <c r="Z64" s="357">
        <f t="shared" si="116"/>
        <v>992120</v>
      </c>
      <c r="AA64" s="357">
        <f t="shared" si="116"/>
        <v>335337</v>
      </c>
      <c r="AB64" s="357">
        <f t="shared" si="116"/>
        <v>9831</v>
      </c>
      <c r="AC64" s="357">
        <f t="shared" si="116"/>
        <v>0</v>
      </c>
      <c r="AD64" s="684">
        <f t="shared" si="116"/>
        <v>1337288</v>
      </c>
      <c r="AE64" s="840">
        <f t="shared" si="116"/>
        <v>-0.01</v>
      </c>
      <c r="AF64" s="358">
        <f t="shared" si="116"/>
        <v>2.5</v>
      </c>
      <c r="AG64" s="358">
        <f t="shared" si="116"/>
        <v>0</v>
      </c>
      <c r="AH64" s="358">
        <f t="shared" si="116"/>
        <v>0</v>
      </c>
      <c r="AI64" s="358">
        <f t="shared" si="116"/>
        <v>0</v>
      </c>
      <c r="AJ64" s="358">
        <f t="shared" si="116"/>
        <v>0</v>
      </c>
      <c r="AK64" s="258">
        <f t="shared" si="116"/>
        <v>2.4900000000000002</v>
      </c>
      <c r="AL64" s="687">
        <f t="shared" si="116"/>
        <v>6522682</v>
      </c>
      <c r="AM64" s="443">
        <f t="shared" si="116"/>
        <v>4829852</v>
      </c>
      <c r="AN64" s="357">
        <f t="shared" si="116"/>
        <v>9000</v>
      </c>
      <c r="AO64" s="357">
        <f t="shared" si="116"/>
        <v>1635532</v>
      </c>
      <c r="AP64" s="357">
        <f t="shared" si="116"/>
        <v>48298</v>
      </c>
      <c r="AQ64" s="357">
        <f t="shared" si="116"/>
        <v>0</v>
      </c>
      <c r="AR64" s="258">
        <f t="shared" si="116"/>
        <v>8.9312000000000005</v>
      </c>
      <c r="AS64" s="240"/>
    </row>
    <row r="65" spans="1:45" ht="12.95" customHeight="1" x14ac:dyDescent="0.25">
      <c r="A65" s="205">
        <v>13</v>
      </c>
      <c r="B65" s="246">
        <v>5487</v>
      </c>
      <c r="C65" s="247">
        <v>600098796</v>
      </c>
      <c r="D65" s="206">
        <v>71006753</v>
      </c>
      <c r="E65" s="273" t="s">
        <v>418</v>
      </c>
      <c r="F65" s="246">
        <v>3111</v>
      </c>
      <c r="G65" s="270" t="s">
        <v>290</v>
      </c>
      <c r="H65" s="209" t="s">
        <v>262</v>
      </c>
      <c r="I65" s="586">
        <f t="shared" ref="I65:I66" si="118">SUM(J65:M65)</f>
        <v>1277832</v>
      </c>
      <c r="J65" s="678">
        <v>947947</v>
      </c>
      <c r="K65" s="55">
        <f t="shared" ref="K65:K66" si="119">ROUND(J65*33.8%,0)</f>
        <v>320406</v>
      </c>
      <c r="L65" s="55">
        <f t="shared" ref="L65:L66" si="120">ROUND(J65*1%,0)</f>
        <v>9479</v>
      </c>
      <c r="M65" s="325">
        <v>0</v>
      </c>
      <c r="N65" s="752">
        <v>1.7755000000000001</v>
      </c>
      <c r="O65" s="445">
        <f>V65*-1</f>
        <v>0</v>
      </c>
      <c r="P65" s="578">
        <v>0</v>
      </c>
      <c r="Q65" s="325">
        <v>0</v>
      </c>
      <c r="R65" s="325">
        <v>0</v>
      </c>
      <c r="S65" s="325">
        <v>0</v>
      </c>
      <c r="T65" s="325">
        <v>0</v>
      </c>
      <c r="U65" s="492">
        <f>O65+P65+Q65+R65+S65+T65</f>
        <v>0</v>
      </c>
      <c r="V65" s="325">
        <v>0</v>
      </c>
      <c r="W65" s="325">
        <v>0</v>
      </c>
      <c r="X65" s="325">
        <v>0</v>
      </c>
      <c r="Y65" s="492">
        <f t="shared" ref="Y65:Y66" si="121">V65+W65+X65</f>
        <v>0</v>
      </c>
      <c r="Z65" s="492">
        <f t="shared" ref="Z65:Z66" si="122">U65+Y65</f>
        <v>0</v>
      </c>
      <c r="AA65" s="494">
        <f t="shared" ref="AA65:AA66" si="123">ROUND((U65+Y65)*33.8%,0)</f>
        <v>0</v>
      </c>
      <c r="AB65" s="494">
        <f t="shared" ref="AB65:AB66" si="124">ROUND(U65*1%,0)</f>
        <v>0</v>
      </c>
      <c r="AC65" s="492">
        <v>0</v>
      </c>
      <c r="AD65" s="789">
        <f t="shared" ref="AD65:AD66" si="125">Z65+AA65+AB65+AC65</f>
        <v>0</v>
      </c>
      <c r="AE65" s="715">
        <v>0</v>
      </c>
      <c r="AF65" s="582">
        <v>0</v>
      </c>
      <c r="AG65" s="326">
        <v>0</v>
      </c>
      <c r="AH65" s="326">
        <v>0</v>
      </c>
      <c r="AI65" s="326">
        <v>0</v>
      </c>
      <c r="AJ65" s="326">
        <v>0</v>
      </c>
      <c r="AK65" s="626">
        <f>SUM(AE65:AJ65)</f>
        <v>0</v>
      </c>
      <c r="AL65" s="696">
        <f>I65+AD65</f>
        <v>1277832</v>
      </c>
      <c r="AM65" s="492">
        <f>J65+U65</f>
        <v>947947</v>
      </c>
      <c r="AN65" s="492">
        <f>Y65</f>
        <v>0</v>
      </c>
      <c r="AO65" s="492">
        <f t="shared" ref="AO65:AQ66" si="126">K65+AA65</f>
        <v>320406</v>
      </c>
      <c r="AP65" s="492">
        <f t="shared" si="126"/>
        <v>9479</v>
      </c>
      <c r="AQ65" s="492">
        <f t="shared" si="126"/>
        <v>0</v>
      </c>
      <c r="AR65" s="626">
        <f>N65+AK65</f>
        <v>1.7755000000000001</v>
      </c>
      <c r="AS65" s="240"/>
    </row>
    <row r="66" spans="1:45" ht="12.95" customHeight="1" x14ac:dyDescent="0.25">
      <c r="A66" s="205">
        <v>13</v>
      </c>
      <c r="B66" s="246">
        <v>5487</v>
      </c>
      <c r="C66" s="247">
        <v>600098796</v>
      </c>
      <c r="D66" s="206">
        <v>71006753</v>
      </c>
      <c r="E66" s="273" t="s">
        <v>418</v>
      </c>
      <c r="F66" s="246">
        <v>3111</v>
      </c>
      <c r="G66" s="209" t="s">
        <v>278</v>
      </c>
      <c r="H66" s="209" t="s">
        <v>263</v>
      </c>
      <c r="I66" s="586">
        <f t="shared" si="118"/>
        <v>0</v>
      </c>
      <c r="J66" s="678"/>
      <c r="K66" s="55">
        <f t="shared" si="119"/>
        <v>0</v>
      </c>
      <c r="L66" s="55">
        <f t="shared" si="120"/>
        <v>0</v>
      </c>
      <c r="M66" s="325">
        <v>0</v>
      </c>
      <c r="N66" s="752"/>
      <c r="O66" s="440">
        <f>V66*-1</f>
        <v>0</v>
      </c>
      <c r="P66" s="578">
        <v>0</v>
      </c>
      <c r="Q66" s="325">
        <v>0</v>
      </c>
      <c r="R66" s="325">
        <v>0</v>
      </c>
      <c r="S66" s="325">
        <v>0</v>
      </c>
      <c r="T66" s="325">
        <v>0</v>
      </c>
      <c r="U66" s="492">
        <f>O66+P66+Q66+R66+S66+T66</f>
        <v>0</v>
      </c>
      <c r="V66" s="325">
        <v>0</v>
      </c>
      <c r="W66" s="325">
        <v>0</v>
      </c>
      <c r="X66" s="325">
        <v>0</v>
      </c>
      <c r="Y66" s="492">
        <f t="shared" si="121"/>
        <v>0</v>
      </c>
      <c r="Z66" s="492">
        <f t="shared" si="122"/>
        <v>0</v>
      </c>
      <c r="AA66" s="494">
        <f t="shared" si="123"/>
        <v>0</v>
      </c>
      <c r="AB66" s="494">
        <f t="shared" si="124"/>
        <v>0</v>
      </c>
      <c r="AC66" s="492">
        <v>0</v>
      </c>
      <c r="AD66" s="789">
        <f t="shared" si="125"/>
        <v>0</v>
      </c>
      <c r="AE66" s="715">
        <v>0</v>
      </c>
      <c r="AF66" s="582">
        <v>0</v>
      </c>
      <c r="AG66" s="326">
        <v>0</v>
      </c>
      <c r="AH66" s="326">
        <v>0</v>
      </c>
      <c r="AI66" s="326">
        <v>0</v>
      </c>
      <c r="AJ66" s="326">
        <v>0</v>
      </c>
      <c r="AK66" s="626">
        <f>SUM(AE66:AJ66)</f>
        <v>0</v>
      </c>
      <c r="AL66" s="696">
        <f>I66+AD66</f>
        <v>0</v>
      </c>
      <c r="AM66" s="492">
        <f>J66+U66</f>
        <v>0</v>
      </c>
      <c r="AN66" s="492">
        <f>Y66</f>
        <v>0</v>
      </c>
      <c r="AO66" s="492">
        <f t="shared" si="126"/>
        <v>0</v>
      </c>
      <c r="AP66" s="492">
        <f t="shared" si="126"/>
        <v>0</v>
      </c>
      <c r="AQ66" s="492">
        <f t="shared" si="126"/>
        <v>0</v>
      </c>
      <c r="AR66" s="626">
        <f>N66+AK66</f>
        <v>0</v>
      </c>
      <c r="AS66" s="240"/>
    </row>
    <row r="67" spans="1:45" ht="12.95" customHeight="1" x14ac:dyDescent="0.25">
      <c r="A67" s="198">
        <v>13</v>
      </c>
      <c r="B67" s="250">
        <v>5487</v>
      </c>
      <c r="C67" s="251">
        <v>600098796</v>
      </c>
      <c r="D67" s="250">
        <v>71006753</v>
      </c>
      <c r="E67" s="274" t="s">
        <v>419</v>
      </c>
      <c r="F67" s="250"/>
      <c r="G67" s="275"/>
      <c r="H67" s="568"/>
      <c r="I67" s="664">
        <f t="shared" ref="I67:AR67" si="127">SUM(I65:I66)</f>
        <v>1277832</v>
      </c>
      <c r="J67" s="679">
        <f t="shared" si="127"/>
        <v>947947</v>
      </c>
      <c r="K67" s="355">
        <f t="shared" si="127"/>
        <v>320406</v>
      </c>
      <c r="L67" s="355">
        <f t="shared" si="127"/>
        <v>9479</v>
      </c>
      <c r="M67" s="355">
        <f t="shared" ref="M67" si="128">SUM(M65:M66)</f>
        <v>0</v>
      </c>
      <c r="N67" s="753">
        <f t="shared" si="127"/>
        <v>1.7755000000000001</v>
      </c>
      <c r="O67" s="442">
        <f t="shared" si="127"/>
        <v>0</v>
      </c>
      <c r="P67" s="442">
        <f t="shared" si="127"/>
        <v>0</v>
      </c>
      <c r="Q67" s="355">
        <f t="shared" si="127"/>
        <v>0</v>
      </c>
      <c r="R67" s="355">
        <f t="shared" si="127"/>
        <v>0</v>
      </c>
      <c r="S67" s="355">
        <f t="shared" si="127"/>
        <v>0</v>
      </c>
      <c r="T67" s="355">
        <f t="shared" si="127"/>
        <v>0</v>
      </c>
      <c r="U67" s="355">
        <f t="shared" si="127"/>
        <v>0</v>
      </c>
      <c r="V67" s="355">
        <f t="shared" si="127"/>
        <v>0</v>
      </c>
      <c r="W67" s="355">
        <f t="shared" si="127"/>
        <v>0</v>
      </c>
      <c r="X67" s="355">
        <f t="shared" si="127"/>
        <v>0</v>
      </c>
      <c r="Y67" s="355">
        <f t="shared" si="127"/>
        <v>0</v>
      </c>
      <c r="Z67" s="355">
        <f t="shared" si="127"/>
        <v>0</v>
      </c>
      <c r="AA67" s="355">
        <f t="shared" si="127"/>
        <v>0</v>
      </c>
      <c r="AB67" s="355">
        <f t="shared" si="127"/>
        <v>0</v>
      </c>
      <c r="AC67" s="355">
        <f t="shared" si="127"/>
        <v>0</v>
      </c>
      <c r="AD67" s="683">
        <f t="shared" si="127"/>
        <v>0</v>
      </c>
      <c r="AE67" s="839">
        <f t="shared" si="127"/>
        <v>0</v>
      </c>
      <c r="AF67" s="356">
        <f t="shared" si="127"/>
        <v>0</v>
      </c>
      <c r="AG67" s="356">
        <f t="shared" si="127"/>
        <v>0</v>
      </c>
      <c r="AH67" s="356">
        <f t="shared" si="127"/>
        <v>0</v>
      </c>
      <c r="AI67" s="356">
        <f t="shared" si="127"/>
        <v>0</v>
      </c>
      <c r="AJ67" s="356">
        <f t="shared" si="127"/>
        <v>0</v>
      </c>
      <c r="AK67" s="253">
        <f t="shared" si="127"/>
        <v>0</v>
      </c>
      <c r="AL67" s="686">
        <f t="shared" si="127"/>
        <v>1277832</v>
      </c>
      <c r="AM67" s="442">
        <f t="shared" si="127"/>
        <v>947947</v>
      </c>
      <c r="AN67" s="355">
        <f t="shared" si="127"/>
        <v>0</v>
      </c>
      <c r="AO67" s="355">
        <f t="shared" si="127"/>
        <v>320406</v>
      </c>
      <c r="AP67" s="355">
        <f t="shared" si="127"/>
        <v>9479</v>
      </c>
      <c r="AQ67" s="355">
        <f t="shared" si="127"/>
        <v>0</v>
      </c>
      <c r="AR67" s="253">
        <f t="shared" si="127"/>
        <v>1.7755000000000001</v>
      </c>
      <c r="AS67" s="240"/>
    </row>
    <row r="68" spans="1:45" ht="12.95" customHeight="1" x14ac:dyDescent="0.25">
      <c r="A68" s="205">
        <v>14</v>
      </c>
      <c r="B68" s="246">
        <v>5436</v>
      </c>
      <c r="C68" s="247">
        <v>600098800</v>
      </c>
      <c r="D68" s="206">
        <v>72742992</v>
      </c>
      <c r="E68" s="273" t="s">
        <v>420</v>
      </c>
      <c r="F68" s="246">
        <v>3111</v>
      </c>
      <c r="G68" s="270" t="s">
        <v>290</v>
      </c>
      <c r="H68" s="209" t="s">
        <v>262</v>
      </c>
      <c r="I68" s="586">
        <f t="shared" ref="I68:I69" si="129">SUM(J68:M68)</f>
        <v>3386167</v>
      </c>
      <c r="J68" s="678">
        <v>2511993</v>
      </c>
      <c r="K68" s="55">
        <f t="shared" ref="K68:K69" si="130">ROUND(J68*33.8%,0)</f>
        <v>849054</v>
      </c>
      <c r="L68" s="55">
        <f t="shared" ref="L68:L69" si="131">ROUND(J68*1%,0)</f>
        <v>25120</v>
      </c>
      <c r="M68" s="325">
        <v>0</v>
      </c>
      <c r="N68" s="752">
        <v>4</v>
      </c>
      <c r="O68" s="445">
        <f>V68*-1</f>
        <v>0</v>
      </c>
      <c r="P68" s="578">
        <v>0</v>
      </c>
      <c r="Q68" s="325">
        <v>0</v>
      </c>
      <c r="R68" s="325">
        <v>0</v>
      </c>
      <c r="S68" s="325">
        <v>0</v>
      </c>
      <c r="T68" s="325">
        <v>0</v>
      </c>
      <c r="U68" s="492">
        <f>O68+P68+Q68+R68+S68+T68</f>
        <v>0</v>
      </c>
      <c r="V68" s="325">
        <v>0</v>
      </c>
      <c r="W68" s="325">
        <v>0</v>
      </c>
      <c r="X68" s="325">
        <v>0</v>
      </c>
      <c r="Y68" s="492">
        <f t="shared" ref="Y68:Y69" si="132">V68+W68+X68</f>
        <v>0</v>
      </c>
      <c r="Z68" s="492">
        <f t="shared" ref="Z68:Z69" si="133">U68+Y68</f>
        <v>0</v>
      </c>
      <c r="AA68" s="494">
        <f t="shared" ref="AA68:AA69" si="134">ROUND((U68+Y68)*33.8%,0)</f>
        <v>0</v>
      </c>
      <c r="AB68" s="494">
        <f t="shared" ref="AB68:AB69" si="135">ROUND(U68*1%,0)</f>
        <v>0</v>
      </c>
      <c r="AC68" s="492">
        <v>0</v>
      </c>
      <c r="AD68" s="789">
        <f t="shared" ref="AD68:AD69" si="136">Z68+AA68+AB68+AC68</f>
        <v>0</v>
      </c>
      <c r="AE68" s="715">
        <v>0</v>
      </c>
      <c r="AF68" s="582">
        <v>0</v>
      </c>
      <c r="AG68" s="326">
        <v>0</v>
      </c>
      <c r="AH68" s="326">
        <v>0</v>
      </c>
      <c r="AI68" s="326">
        <v>0</v>
      </c>
      <c r="AJ68" s="326">
        <v>0</v>
      </c>
      <c r="AK68" s="626">
        <f>SUM(AE68:AJ68)</f>
        <v>0</v>
      </c>
      <c r="AL68" s="696">
        <f>I68+AD68</f>
        <v>3386167</v>
      </c>
      <c r="AM68" s="492">
        <f>J68+U68</f>
        <v>2511993</v>
      </c>
      <c r="AN68" s="492">
        <f>Y68</f>
        <v>0</v>
      </c>
      <c r="AO68" s="492">
        <f t="shared" ref="AO68:AQ69" si="137">K68+AA68</f>
        <v>849054</v>
      </c>
      <c r="AP68" s="492">
        <f t="shared" si="137"/>
        <v>25120</v>
      </c>
      <c r="AQ68" s="492">
        <f t="shared" si="137"/>
        <v>0</v>
      </c>
      <c r="AR68" s="626">
        <f>N68+AK68</f>
        <v>4</v>
      </c>
      <c r="AS68" s="240"/>
    </row>
    <row r="69" spans="1:45" ht="12.95" customHeight="1" x14ac:dyDescent="0.25">
      <c r="A69" s="205">
        <v>14</v>
      </c>
      <c r="B69" s="246">
        <v>5436</v>
      </c>
      <c r="C69" s="247">
        <v>600098800</v>
      </c>
      <c r="D69" s="206">
        <v>72742992</v>
      </c>
      <c r="E69" s="273" t="s">
        <v>420</v>
      </c>
      <c r="F69" s="246">
        <v>3111</v>
      </c>
      <c r="G69" s="270" t="s">
        <v>278</v>
      </c>
      <c r="H69" s="209" t="s">
        <v>263</v>
      </c>
      <c r="I69" s="586">
        <f t="shared" si="129"/>
        <v>0</v>
      </c>
      <c r="J69" s="678"/>
      <c r="K69" s="55">
        <f t="shared" si="130"/>
        <v>0</v>
      </c>
      <c r="L69" s="55">
        <f t="shared" si="131"/>
        <v>0</v>
      </c>
      <c r="M69" s="325">
        <v>0</v>
      </c>
      <c r="N69" s="752"/>
      <c r="O69" s="440">
        <f>V69*-1</f>
        <v>0</v>
      </c>
      <c r="P69" s="578">
        <v>0</v>
      </c>
      <c r="Q69" s="325">
        <v>0</v>
      </c>
      <c r="R69" s="325">
        <v>0</v>
      </c>
      <c r="S69" s="325">
        <v>0</v>
      </c>
      <c r="T69" s="325">
        <v>0</v>
      </c>
      <c r="U69" s="492">
        <f>O69+P69+Q69+R69+S69+T69</f>
        <v>0</v>
      </c>
      <c r="V69" s="325">
        <v>0</v>
      </c>
      <c r="W69" s="325">
        <v>0</v>
      </c>
      <c r="X69" s="325">
        <v>0</v>
      </c>
      <c r="Y69" s="492">
        <f t="shared" si="132"/>
        <v>0</v>
      </c>
      <c r="Z69" s="492">
        <f t="shared" si="133"/>
        <v>0</v>
      </c>
      <c r="AA69" s="494">
        <f t="shared" si="134"/>
        <v>0</v>
      </c>
      <c r="AB69" s="494">
        <f t="shared" si="135"/>
        <v>0</v>
      </c>
      <c r="AC69" s="492">
        <v>0</v>
      </c>
      <c r="AD69" s="789">
        <f t="shared" si="136"/>
        <v>0</v>
      </c>
      <c r="AE69" s="715">
        <v>0</v>
      </c>
      <c r="AF69" s="582">
        <v>0</v>
      </c>
      <c r="AG69" s="326">
        <v>0</v>
      </c>
      <c r="AH69" s="326">
        <v>0</v>
      </c>
      <c r="AI69" s="326">
        <v>0</v>
      </c>
      <c r="AJ69" s="326">
        <v>0</v>
      </c>
      <c r="AK69" s="626">
        <f>SUM(AE69:AJ69)</f>
        <v>0</v>
      </c>
      <c r="AL69" s="696">
        <f>I69+AD69</f>
        <v>0</v>
      </c>
      <c r="AM69" s="492">
        <f>J69+U69</f>
        <v>0</v>
      </c>
      <c r="AN69" s="492">
        <f>Y69</f>
        <v>0</v>
      </c>
      <c r="AO69" s="492">
        <f t="shared" si="137"/>
        <v>0</v>
      </c>
      <c r="AP69" s="492">
        <f t="shared" si="137"/>
        <v>0</v>
      </c>
      <c r="AQ69" s="492">
        <f t="shared" si="137"/>
        <v>0</v>
      </c>
      <c r="AR69" s="626">
        <f>N69+AK69</f>
        <v>0</v>
      </c>
      <c r="AS69" s="240"/>
    </row>
    <row r="70" spans="1:45" ht="12.95" customHeight="1" x14ac:dyDescent="0.25">
      <c r="A70" s="198">
        <v>14</v>
      </c>
      <c r="B70" s="200">
        <v>5436</v>
      </c>
      <c r="C70" s="271">
        <v>600098800</v>
      </c>
      <c r="D70" s="200">
        <v>72742992</v>
      </c>
      <c r="E70" s="213" t="s">
        <v>421</v>
      </c>
      <c r="F70" s="200"/>
      <c r="G70" s="272"/>
      <c r="H70" s="567"/>
      <c r="I70" s="664">
        <f t="shared" ref="I70:AR70" si="138">SUM(I68:I69)</f>
        <v>3386167</v>
      </c>
      <c r="J70" s="679">
        <f t="shared" si="138"/>
        <v>2511993</v>
      </c>
      <c r="K70" s="355">
        <f t="shared" si="138"/>
        <v>849054</v>
      </c>
      <c r="L70" s="355">
        <f t="shared" si="138"/>
        <v>25120</v>
      </c>
      <c r="M70" s="355">
        <f t="shared" ref="M70" si="139">SUM(M68:M69)</f>
        <v>0</v>
      </c>
      <c r="N70" s="753">
        <f t="shared" si="138"/>
        <v>4</v>
      </c>
      <c r="O70" s="442">
        <f t="shared" si="138"/>
        <v>0</v>
      </c>
      <c r="P70" s="442">
        <f t="shared" si="138"/>
        <v>0</v>
      </c>
      <c r="Q70" s="355">
        <f t="shared" si="138"/>
        <v>0</v>
      </c>
      <c r="R70" s="355">
        <f t="shared" si="138"/>
        <v>0</v>
      </c>
      <c r="S70" s="355">
        <f t="shared" si="138"/>
        <v>0</v>
      </c>
      <c r="T70" s="355">
        <f t="shared" si="138"/>
        <v>0</v>
      </c>
      <c r="U70" s="355">
        <f t="shared" si="138"/>
        <v>0</v>
      </c>
      <c r="V70" s="355">
        <f t="shared" si="138"/>
        <v>0</v>
      </c>
      <c r="W70" s="355">
        <f t="shared" si="138"/>
        <v>0</v>
      </c>
      <c r="X70" s="355">
        <f t="shared" si="138"/>
        <v>0</v>
      </c>
      <c r="Y70" s="355">
        <f t="shared" si="138"/>
        <v>0</v>
      </c>
      <c r="Z70" s="355">
        <f t="shared" si="138"/>
        <v>0</v>
      </c>
      <c r="AA70" s="355">
        <f t="shared" si="138"/>
        <v>0</v>
      </c>
      <c r="AB70" s="355">
        <f t="shared" si="138"/>
        <v>0</v>
      </c>
      <c r="AC70" s="355">
        <f t="shared" si="138"/>
        <v>0</v>
      </c>
      <c r="AD70" s="683">
        <f t="shared" si="138"/>
        <v>0</v>
      </c>
      <c r="AE70" s="839">
        <f t="shared" si="138"/>
        <v>0</v>
      </c>
      <c r="AF70" s="356">
        <f t="shared" si="138"/>
        <v>0</v>
      </c>
      <c r="AG70" s="356">
        <f t="shared" si="138"/>
        <v>0</v>
      </c>
      <c r="AH70" s="356">
        <f t="shared" si="138"/>
        <v>0</v>
      </c>
      <c r="AI70" s="356">
        <f t="shared" si="138"/>
        <v>0</v>
      </c>
      <c r="AJ70" s="356">
        <f t="shared" si="138"/>
        <v>0</v>
      </c>
      <c r="AK70" s="253">
        <f t="shared" si="138"/>
        <v>0</v>
      </c>
      <c r="AL70" s="686">
        <f t="shared" si="138"/>
        <v>3386167</v>
      </c>
      <c r="AM70" s="442">
        <f t="shared" si="138"/>
        <v>2511993</v>
      </c>
      <c r="AN70" s="355">
        <f t="shared" si="138"/>
        <v>0</v>
      </c>
      <c r="AO70" s="355">
        <f t="shared" si="138"/>
        <v>849054</v>
      </c>
      <c r="AP70" s="355">
        <f t="shared" si="138"/>
        <v>25120</v>
      </c>
      <c r="AQ70" s="355">
        <f t="shared" si="138"/>
        <v>0</v>
      </c>
      <c r="AR70" s="253">
        <f t="shared" si="138"/>
        <v>4</v>
      </c>
      <c r="AS70" s="240"/>
    </row>
    <row r="71" spans="1:45" ht="12.95" customHeight="1" x14ac:dyDescent="0.25">
      <c r="A71" s="205">
        <v>15</v>
      </c>
      <c r="B71" s="246">
        <v>5435</v>
      </c>
      <c r="C71" s="247">
        <v>600099199</v>
      </c>
      <c r="D71" s="206">
        <v>72743077</v>
      </c>
      <c r="E71" s="273" t="s">
        <v>422</v>
      </c>
      <c r="F71" s="246">
        <v>3113</v>
      </c>
      <c r="G71" s="270" t="s">
        <v>294</v>
      </c>
      <c r="H71" s="209" t="s">
        <v>262</v>
      </c>
      <c r="I71" s="586">
        <f t="shared" ref="I71:I73" si="140">SUM(J71:M71)</f>
        <v>9725223</v>
      </c>
      <c r="J71" s="678">
        <v>7214557</v>
      </c>
      <c r="K71" s="55">
        <f t="shared" ref="K71:K73" si="141">ROUND(J71*33.8%,0)</f>
        <v>2438520</v>
      </c>
      <c r="L71" s="55">
        <f t="shared" ref="L71:L73" si="142">ROUND(J71*1%,0)</f>
        <v>72146</v>
      </c>
      <c r="M71" s="325">
        <v>0</v>
      </c>
      <c r="N71" s="752">
        <v>10.181800000000001</v>
      </c>
      <c r="O71" s="445">
        <f>V71*-1</f>
        <v>-56400</v>
      </c>
      <c r="P71" s="578">
        <v>0</v>
      </c>
      <c r="Q71" s="325">
        <v>29190</v>
      </c>
      <c r="R71" s="325">
        <v>0</v>
      </c>
      <c r="S71" s="325">
        <v>0</v>
      </c>
      <c r="T71" s="325">
        <v>0</v>
      </c>
      <c r="U71" s="492">
        <f>O71+P71+Q71+R71+S71+T71</f>
        <v>-27210</v>
      </c>
      <c r="V71" s="325">
        <v>56400</v>
      </c>
      <c r="W71" s="325">
        <v>0</v>
      </c>
      <c r="X71" s="325">
        <v>0</v>
      </c>
      <c r="Y71" s="492">
        <f t="shared" ref="Y71:Y73" si="143">V71+W71+X71</f>
        <v>56400</v>
      </c>
      <c r="Z71" s="492">
        <f t="shared" ref="Z71:Z73" si="144">U71+Y71</f>
        <v>29190</v>
      </c>
      <c r="AA71" s="494">
        <f t="shared" ref="AA71:AA73" si="145">ROUND((U71+Y71)*33.8%,0)</f>
        <v>9866</v>
      </c>
      <c r="AB71" s="494">
        <f t="shared" ref="AB71:AB73" si="146">ROUND(U71*1%,0)</f>
        <v>-272</v>
      </c>
      <c r="AC71" s="492">
        <v>0</v>
      </c>
      <c r="AD71" s="789">
        <f t="shared" ref="AD71:AD73" si="147">Z71+AA71+AB71+AC71</f>
        <v>38784</v>
      </c>
      <c r="AE71" s="715">
        <v>-0.02</v>
      </c>
      <c r="AF71" s="582">
        <v>0</v>
      </c>
      <c r="AG71" s="326">
        <v>0</v>
      </c>
      <c r="AH71" s="326">
        <v>0.04</v>
      </c>
      <c r="AI71" s="326">
        <v>0</v>
      </c>
      <c r="AJ71" s="326">
        <v>0</v>
      </c>
      <c r="AK71" s="626">
        <f>SUM(AE71:AJ71)</f>
        <v>0.02</v>
      </c>
      <c r="AL71" s="696">
        <f>I71+AD71</f>
        <v>9764007</v>
      </c>
      <c r="AM71" s="492">
        <f>J71+U71</f>
        <v>7187347</v>
      </c>
      <c r="AN71" s="492">
        <f>Y71</f>
        <v>56400</v>
      </c>
      <c r="AO71" s="492">
        <f t="shared" ref="AO71:AQ73" si="148">K71+AA71</f>
        <v>2448386</v>
      </c>
      <c r="AP71" s="492">
        <f t="shared" si="148"/>
        <v>71874</v>
      </c>
      <c r="AQ71" s="492">
        <f t="shared" si="148"/>
        <v>0</v>
      </c>
      <c r="AR71" s="626">
        <f>N71+AK71</f>
        <v>10.2018</v>
      </c>
      <c r="AS71" s="240"/>
    </row>
    <row r="72" spans="1:45" ht="12.95" customHeight="1" x14ac:dyDescent="0.25">
      <c r="A72" s="205">
        <v>15</v>
      </c>
      <c r="B72" s="246">
        <v>5435</v>
      </c>
      <c r="C72" s="247">
        <v>600099199</v>
      </c>
      <c r="D72" s="206">
        <v>72743077</v>
      </c>
      <c r="E72" s="273" t="s">
        <v>422</v>
      </c>
      <c r="F72" s="246">
        <v>3113</v>
      </c>
      <c r="G72" s="209" t="s">
        <v>278</v>
      </c>
      <c r="H72" s="209" t="s">
        <v>263</v>
      </c>
      <c r="I72" s="586">
        <f t="shared" si="140"/>
        <v>0</v>
      </c>
      <c r="J72" s="678"/>
      <c r="K72" s="55">
        <f t="shared" si="141"/>
        <v>0</v>
      </c>
      <c r="L72" s="55">
        <f t="shared" si="142"/>
        <v>0</v>
      </c>
      <c r="M72" s="325">
        <v>0</v>
      </c>
      <c r="N72" s="752"/>
      <c r="O72" s="440">
        <f>V72*-1</f>
        <v>0</v>
      </c>
      <c r="P72" s="578">
        <v>496060</v>
      </c>
      <c r="Q72" s="325">
        <v>0</v>
      </c>
      <c r="R72" s="325">
        <v>0</v>
      </c>
      <c r="S72" s="325">
        <v>0</v>
      </c>
      <c r="T72" s="325">
        <v>0</v>
      </c>
      <c r="U72" s="492">
        <f>O72+P72+Q72+R72+S72+T72</f>
        <v>496060</v>
      </c>
      <c r="V72" s="325">
        <v>0</v>
      </c>
      <c r="W72" s="325">
        <v>0</v>
      </c>
      <c r="X72" s="325">
        <v>0</v>
      </c>
      <c r="Y72" s="492">
        <f t="shared" si="143"/>
        <v>0</v>
      </c>
      <c r="Z72" s="492">
        <f t="shared" si="144"/>
        <v>496060</v>
      </c>
      <c r="AA72" s="494">
        <f t="shared" si="145"/>
        <v>167668</v>
      </c>
      <c r="AB72" s="494">
        <f t="shared" si="146"/>
        <v>4961</v>
      </c>
      <c r="AC72" s="492">
        <v>0</v>
      </c>
      <c r="AD72" s="789">
        <f t="shared" si="147"/>
        <v>668689</v>
      </c>
      <c r="AE72" s="715">
        <v>0</v>
      </c>
      <c r="AF72" s="582">
        <v>1.25</v>
      </c>
      <c r="AG72" s="326">
        <v>0</v>
      </c>
      <c r="AH72" s="326">
        <v>0</v>
      </c>
      <c r="AI72" s="326">
        <v>0</v>
      </c>
      <c r="AJ72" s="326">
        <v>0</v>
      </c>
      <c r="AK72" s="626">
        <f>SUM(AE72:AJ72)</f>
        <v>1.25</v>
      </c>
      <c r="AL72" s="696">
        <f>I72+AD72</f>
        <v>668689</v>
      </c>
      <c r="AM72" s="492">
        <f>J72+U72</f>
        <v>496060</v>
      </c>
      <c r="AN72" s="492">
        <f>Y72</f>
        <v>0</v>
      </c>
      <c r="AO72" s="492">
        <f t="shared" si="148"/>
        <v>167668</v>
      </c>
      <c r="AP72" s="492">
        <f t="shared" si="148"/>
        <v>4961</v>
      </c>
      <c r="AQ72" s="492">
        <f t="shared" si="148"/>
        <v>0</v>
      </c>
      <c r="AR72" s="626">
        <f>N72+AK72</f>
        <v>1.25</v>
      </c>
      <c r="AS72" s="240"/>
    </row>
    <row r="73" spans="1:45" ht="12.95" customHeight="1" x14ac:dyDescent="0.25">
      <c r="A73" s="205">
        <v>15</v>
      </c>
      <c r="B73" s="246">
        <v>5435</v>
      </c>
      <c r="C73" s="247">
        <v>600099199</v>
      </c>
      <c r="D73" s="206">
        <v>72743077</v>
      </c>
      <c r="E73" s="273" t="s">
        <v>422</v>
      </c>
      <c r="F73" s="246">
        <v>3143</v>
      </c>
      <c r="G73" s="209" t="s">
        <v>795</v>
      </c>
      <c r="H73" s="209" t="s">
        <v>262</v>
      </c>
      <c r="I73" s="586">
        <f t="shared" si="140"/>
        <v>702885</v>
      </c>
      <c r="J73" s="678">
        <v>521428</v>
      </c>
      <c r="K73" s="55">
        <f t="shared" si="141"/>
        <v>176243</v>
      </c>
      <c r="L73" s="55">
        <f t="shared" si="142"/>
        <v>5214</v>
      </c>
      <c r="M73" s="325">
        <v>0</v>
      </c>
      <c r="N73" s="752">
        <v>0.96430000000000005</v>
      </c>
      <c r="O73" s="440">
        <f>V73*-1</f>
        <v>-3000</v>
      </c>
      <c r="P73" s="578">
        <v>0</v>
      </c>
      <c r="Q73" s="325">
        <v>0</v>
      </c>
      <c r="R73" s="325">
        <v>0</v>
      </c>
      <c r="S73" s="325">
        <v>0</v>
      </c>
      <c r="T73" s="325">
        <v>0</v>
      </c>
      <c r="U73" s="492">
        <f>O73+P73+Q73+R73+S73+T73</f>
        <v>-3000</v>
      </c>
      <c r="V73" s="325">
        <v>3000</v>
      </c>
      <c r="W73" s="325">
        <v>0</v>
      </c>
      <c r="X73" s="325">
        <v>0</v>
      </c>
      <c r="Y73" s="492">
        <f t="shared" si="143"/>
        <v>3000</v>
      </c>
      <c r="Z73" s="492">
        <f t="shared" si="144"/>
        <v>0</v>
      </c>
      <c r="AA73" s="494">
        <f t="shared" si="145"/>
        <v>0</v>
      </c>
      <c r="AB73" s="494">
        <f t="shared" si="146"/>
        <v>-30</v>
      </c>
      <c r="AC73" s="492">
        <v>0</v>
      </c>
      <c r="AD73" s="789">
        <f t="shared" si="147"/>
        <v>-30</v>
      </c>
      <c r="AE73" s="715">
        <v>0</v>
      </c>
      <c r="AF73" s="582">
        <v>0</v>
      </c>
      <c r="AG73" s="326">
        <v>0</v>
      </c>
      <c r="AH73" s="326">
        <v>0</v>
      </c>
      <c r="AI73" s="326">
        <v>0</v>
      </c>
      <c r="AJ73" s="326">
        <v>0</v>
      </c>
      <c r="AK73" s="626">
        <f>SUM(AE73:AJ73)</f>
        <v>0</v>
      </c>
      <c r="AL73" s="696">
        <f>I73+AD73</f>
        <v>702855</v>
      </c>
      <c r="AM73" s="492">
        <f>J73+U73</f>
        <v>518428</v>
      </c>
      <c r="AN73" s="492">
        <f>Y73</f>
        <v>3000</v>
      </c>
      <c r="AO73" s="492">
        <f t="shared" si="148"/>
        <v>176243</v>
      </c>
      <c r="AP73" s="492">
        <f t="shared" si="148"/>
        <v>5184</v>
      </c>
      <c r="AQ73" s="492">
        <f t="shared" si="148"/>
        <v>0</v>
      </c>
      <c r="AR73" s="626">
        <f>N73+AK73</f>
        <v>0.96430000000000005</v>
      </c>
      <c r="AS73" s="240"/>
    </row>
    <row r="74" spans="1:45" ht="12.95" customHeight="1" x14ac:dyDescent="0.25">
      <c r="A74" s="198">
        <v>15</v>
      </c>
      <c r="B74" s="250">
        <v>5435</v>
      </c>
      <c r="C74" s="251">
        <v>600099199</v>
      </c>
      <c r="D74" s="250">
        <v>72743077</v>
      </c>
      <c r="E74" s="274" t="s">
        <v>423</v>
      </c>
      <c r="F74" s="250"/>
      <c r="G74" s="275"/>
      <c r="H74" s="568"/>
      <c r="I74" s="664">
        <f t="shared" ref="I74:AR74" si="149">SUM(I71:I73)</f>
        <v>10428108</v>
      </c>
      <c r="J74" s="679">
        <f t="shared" si="149"/>
        <v>7735985</v>
      </c>
      <c r="K74" s="355">
        <f t="shared" si="149"/>
        <v>2614763</v>
      </c>
      <c r="L74" s="355">
        <f t="shared" si="149"/>
        <v>77360</v>
      </c>
      <c r="M74" s="355">
        <f t="shared" ref="M74" si="150">SUM(M71:M73)</f>
        <v>0</v>
      </c>
      <c r="N74" s="753">
        <f t="shared" si="149"/>
        <v>11.146100000000001</v>
      </c>
      <c r="O74" s="442">
        <f t="shared" si="149"/>
        <v>-59400</v>
      </c>
      <c r="P74" s="442">
        <f t="shared" si="149"/>
        <v>496060</v>
      </c>
      <c r="Q74" s="355">
        <f t="shared" si="149"/>
        <v>29190</v>
      </c>
      <c r="R74" s="355">
        <f t="shared" si="149"/>
        <v>0</v>
      </c>
      <c r="S74" s="355">
        <f t="shared" si="149"/>
        <v>0</v>
      </c>
      <c r="T74" s="355">
        <f t="shared" si="149"/>
        <v>0</v>
      </c>
      <c r="U74" s="355">
        <f t="shared" si="149"/>
        <v>465850</v>
      </c>
      <c r="V74" s="355">
        <f t="shared" si="149"/>
        <v>59400</v>
      </c>
      <c r="W74" s="355">
        <f t="shared" si="149"/>
        <v>0</v>
      </c>
      <c r="X74" s="355">
        <f t="shared" si="149"/>
        <v>0</v>
      </c>
      <c r="Y74" s="355">
        <f t="shared" si="149"/>
        <v>59400</v>
      </c>
      <c r="Z74" s="355">
        <f t="shared" si="149"/>
        <v>525250</v>
      </c>
      <c r="AA74" s="355">
        <f t="shared" si="149"/>
        <v>177534</v>
      </c>
      <c r="AB74" s="355">
        <f t="shared" si="149"/>
        <v>4659</v>
      </c>
      <c r="AC74" s="355">
        <f t="shared" si="149"/>
        <v>0</v>
      </c>
      <c r="AD74" s="683">
        <f t="shared" si="149"/>
        <v>707443</v>
      </c>
      <c r="AE74" s="839">
        <f t="shared" si="149"/>
        <v>-0.02</v>
      </c>
      <c r="AF74" s="356">
        <f t="shared" si="149"/>
        <v>1.25</v>
      </c>
      <c r="AG74" s="356">
        <f t="shared" si="149"/>
        <v>0</v>
      </c>
      <c r="AH74" s="356">
        <f t="shared" si="149"/>
        <v>0.04</v>
      </c>
      <c r="AI74" s="356">
        <f t="shared" si="149"/>
        <v>0</v>
      </c>
      <c r="AJ74" s="356">
        <f t="shared" si="149"/>
        <v>0</v>
      </c>
      <c r="AK74" s="253">
        <f t="shared" si="149"/>
        <v>1.27</v>
      </c>
      <c r="AL74" s="686">
        <f t="shared" si="149"/>
        <v>11135551</v>
      </c>
      <c r="AM74" s="442">
        <f t="shared" si="149"/>
        <v>8201835</v>
      </c>
      <c r="AN74" s="355">
        <f t="shared" si="149"/>
        <v>59400</v>
      </c>
      <c r="AO74" s="355">
        <f t="shared" si="149"/>
        <v>2792297</v>
      </c>
      <c r="AP74" s="355">
        <f t="shared" si="149"/>
        <v>82019</v>
      </c>
      <c r="AQ74" s="355">
        <f t="shared" si="149"/>
        <v>0</v>
      </c>
      <c r="AR74" s="253">
        <f t="shared" si="149"/>
        <v>12.4161</v>
      </c>
      <c r="AS74" s="240"/>
    </row>
    <row r="75" spans="1:45" ht="12.95" customHeight="1" x14ac:dyDescent="0.25">
      <c r="A75" s="205">
        <v>16</v>
      </c>
      <c r="B75" s="246">
        <v>5478</v>
      </c>
      <c r="C75" s="247">
        <v>600098818</v>
      </c>
      <c r="D75" s="206">
        <v>70698031</v>
      </c>
      <c r="E75" s="439" t="s">
        <v>424</v>
      </c>
      <c r="F75" s="246">
        <v>3111</v>
      </c>
      <c r="G75" s="270" t="s">
        <v>290</v>
      </c>
      <c r="H75" s="209" t="s">
        <v>262</v>
      </c>
      <c r="I75" s="586">
        <f t="shared" ref="I75:I76" si="151">SUM(J75:M75)</f>
        <v>7403546</v>
      </c>
      <c r="J75" s="678">
        <v>5492245</v>
      </c>
      <c r="K75" s="55">
        <f t="shared" ref="K75:K76" si="152">ROUND(J75*33.8%,0)</f>
        <v>1856379</v>
      </c>
      <c r="L75" s="55">
        <f t="shared" ref="L75:L76" si="153">ROUND(J75*1%,0)</f>
        <v>54922</v>
      </c>
      <c r="M75" s="325">
        <v>0</v>
      </c>
      <c r="N75" s="752">
        <v>9.6754999999999995</v>
      </c>
      <c r="O75" s="445">
        <f>V75*-1</f>
        <v>0</v>
      </c>
      <c r="P75" s="578">
        <v>0</v>
      </c>
      <c r="Q75" s="325">
        <v>0</v>
      </c>
      <c r="R75" s="325">
        <v>0</v>
      </c>
      <c r="S75" s="325">
        <v>0</v>
      </c>
      <c r="T75" s="325">
        <v>0</v>
      </c>
      <c r="U75" s="492">
        <f>O75+P75+Q75+R75+S75+T75</f>
        <v>0</v>
      </c>
      <c r="V75" s="325">
        <v>0</v>
      </c>
      <c r="W75" s="325">
        <v>0</v>
      </c>
      <c r="X75" s="325">
        <v>0</v>
      </c>
      <c r="Y75" s="492">
        <f t="shared" ref="Y75:Y76" si="154">V75+W75+X75</f>
        <v>0</v>
      </c>
      <c r="Z75" s="492">
        <f t="shared" ref="Z75:Z76" si="155">U75+Y75</f>
        <v>0</v>
      </c>
      <c r="AA75" s="494">
        <f t="shared" ref="AA75:AA76" si="156">ROUND((U75+Y75)*33.8%,0)</f>
        <v>0</v>
      </c>
      <c r="AB75" s="494">
        <f t="shared" ref="AB75:AB76" si="157">ROUND(U75*1%,0)</f>
        <v>0</v>
      </c>
      <c r="AC75" s="492">
        <v>0</v>
      </c>
      <c r="AD75" s="789">
        <f t="shared" ref="AD75:AD76" si="158">Z75+AA75+AB75+AC75</f>
        <v>0</v>
      </c>
      <c r="AE75" s="715">
        <v>0</v>
      </c>
      <c r="AF75" s="582">
        <v>0</v>
      </c>
      <c r="AG75" s="326">
        <v>0</v>
      </c>
      <c r="AH75" s="326">
        <v>0</v>
      </c>
      <c r="AI75" s="326">
        <v>0</v>
      </c>
      <c r="AJ75" s="326">
        <v>0</v>
      </c>
      <c r="AK75" s="626">
        <f>SUM(AE75:AJ75)</f>
        <v>0</v>
      </c>
      <c r="AL75" s="696">
        <f>I75+AD75</f>
        <v>7403546</v>
      </c>
      <c r="AM75" s="492">
        <f>J75+U75</f>
        <v>5492245</v>
      </c>
      <c r="AN75" s="492">
        <f>Y75</f>
        <v>0</v>
      </c>
      <c r="AO75" s="492">
        <f t="shared" ref="AO75:AQ76" si="159">K75+AA75</f>
        <v>1856379</v>
      </c>
      <c r="AP75" s="492">
        <f t="shared" si="159"/>
        <v>54922</v>
      </c>
      <c r="AQ75" s="492">
        <f t="shared" si="159"/>
        <v>0</v>
      </c>
      <c r="AR75" s="626">
        <f>N75+AK75</f>
        <v>9.6754999999999995</v>
      </c>
      <c r="AS75" s="240"/>
    </row>
    <row r="76" spans="1:45" ht="12.95" customHeight="1" x14ac:dyDescent="0.25">
      <c r="A76" s="205">
        <v>16</v>
      </c>
      <c r="B76" s="246">
        <v>5478</v>
      </c>
      <c r="C76" s="247">
        <v>600098818</v>
      </c>
      <c r="D76" s="206">
        <v>70698031</v>
      </c>
      <c r="E76" s="439" t="s">
        <v>424</v>
      </c>
      <c r="F76" s="246">
        <v>3111</v>
      </c>
      <c r="G76" s="270" t="s">
        <v>278</v>
      </c>
      <c r="H76" s="209" t="s">
        <v>263</v>
      </c>
      <c r="I76" s="586">
        <f t="shared" si="151"/>
        <v>0</v>
      </c>
      <c r="J76" s="678"/>
      <c r="K76" s="55">
        <f t="shared" si="152"/>
        <v>0</v>
      </c>
      <c r="L76" s="55">
        <f t="shared" si="153"/>
        <v>0</v>
      </c>
      <c r="M76" s="325">
        <v>0</v>
      </c>
      <c r="N76" s="752"/>
      <c r="O76" s="440">
        <f>V76*-1</f>
        <v>0</v>
      </c>
      <c r="P76" s="578">
        <v>154334</v>
      </c>
      <c r="Q76" s="325">
        <v>0</v>
      </c>
      <c r="R76" s="325">
        <v>0</v>
      </c>
      <c r="S76" s="325">
        <v>0</v>
      </c>
      <c r="T76" s="325">
        <v>0</v>
      </c>
      <c r="U76" s="492">
        <f>O76+P76+Q76+R76+S76+T76</f>
        <v>154334</v>
      </c>
      <c r="V76" s="325">
        <v>0</v>
      </c>
      <c r="W76" s="325">
        <v>0</v>
      </c>
      <c r="X76" s="325">
        <v>0</v>
      </c>
      <c r="Y76" s="492">
        <f t="shared" si="154"/>
        <v>0</v>
      </c>
      <c r="Z76" s="492">
        <f t="shared" si="155"/>
        <v>154334</v>
      </c>
      <c r="AA76" s="494">
        <f t="shared" si="156"/>
        <v>52165</v>
      </c>
      <c r="AB76" s="494">
        <f t="shared" si="157"/>
        <v>1543</v>
      </c>
      <c r="AC76" s="492">
        <v>0</v>
      </c>
      <c r="AD76" s="789">
        <f t="shared" si="158"/>
        <v>208042</v>
      </c>
      <c r="AE76" s="715">
        <v>0</v>
      </c>
      <c r="AF76" s="582">
        <v>0.39</v>
      </c>
      <c r="AG76" s="326">
        <v>0</v>
      </c>
      <c r="AH76" s="326">
        <v>0</v>
      </c>
      <c r="AI76" s="326">
        <v>0</v>
      </c>
      <c r="AJ76" s="326">
        <v>0</v>
      </c>
      <c r="AK76" s="626">
        <f>SUM(AE76:AJ76)</f>
        <v>0.39</v>
      </c>
      <c r="AL76" s="696">
        <f>I76+AD76</f>
        <v>208042</v>
      </c>
      <c r="AM76" s="492">
        <f>J76+U76</f>
        <v>154334</v>
      </c>
      <c r="AN76" s="492">
        <f>Y76</f>
        <v>0</v>
      </c>
      <c r="AO76" s="492">
        <f t="shared" si="159"/>
        <v>52165</v>
      </c>
      <c r="AP76" s="492">
        <f t="shared" si="159"/>
        <v>1543</v>
      </c>
      <c r="AQ76" s="492">
        <f t="shared" si="159"/>
        <v>0</v>
      </c>
      <c r="AR76" s="626">
        <f>N76+AK76</f>
        <v>0.39</v>
      </c>
      <c r="AS76" s="240"/>
    </row>
    <row r="77" spans="1:45" ht="12.95" customHeight="1" x14ac:dyDescent="0.25">
      <c r="A77" s="198">
        <v>16</v>
      </c>
      <c r="B77" s="200">
        <v>5478</v>
      </c>
      <c r="C77" s="271">
        <v>600098818</v>
      </c>
      <c r="D77" s="200">
        <v>70698031</v>
      </c>
      <c r="E77" s="213" t="s">
        <v>425</v>
      </c>
      <c r="F77" s="200"/>
      <c r="G77" s="272"/>
      <c r="H77" s="567"/>
      <c r="I77" s="665">
        <f t="shared" ref="I77:AR77" si="160">SUM(I75:I76)</f>
        <v>7403546</v>
      </c>
      <c r="J77" s="680">
        <f t="shared" si="160"/>
        <v>5492245</v>
      </c>
      <c r="K77" s="357">
        <f t="shared" si="160"/>
        <v>1856379</v>
      </c>
      <c r="L77" s="357">
        <f t="shared" si="160"/>
        <v>54922</v>
      </c>
      <c r="M77" s="357">
        <f t="shared" ref="M77" si="161">SUM(M75:M76)</f>
        <v>0</v>
      </c>
      <c r="N77" s="756">
        <f t="shared" si="160"/>
        <v>9.6754999999999995</v>
      </c>
      <c r="O77" s="443">
        <f t="shared" si="160"/>
        <v>0</v>
      </c>
      <c r="P77" s="443">
        <f t="shared" si="160"/>
        <v>154334</v>
      </c>
      <c r="Q77" s="357">
        <f t="shared" si="160"/>
        <v>0</v>
      </c>
      <c r="R77" s="357">
        <f t="shared" si="160"/>
        <v>0</v>
      </c>
      <c r="S77" s="357">
        <f t="shared" si="160"/>
        <v>0</v>
      </c>
      <c r="T77" s="357">
        <f t="shared" si="160"/>
        <v>0</v>
      </c>
      <c r="U77" s="357">
        <f t="shared" si="160"/>
        <v>154334</v>
      </c>
      <c r="V77" s="357">
        <f t="shared" si="160"/>
        <v>0</v>
      </c>
      <c r="W77" s="357">
        <f t="shared" si="160"/>
        <v>0</v>
      </c>
      <c r="X77" s="357">
        <f t="shared" si="160"/>
        <v>0</v>
      </c>
      <c r="Y77" s="357">
        <f t="shared" si="160"/>
        <v>0</v>
      </c>
      <c r="Z77" s="357">
        <f t="shared" si="160"/>
        <v>154334</v>
      </c>
      <c r="AA77" s="357">
        <f t="shared" si="160"/>
        <v>52165</v>
      </c>
      <c r="AB77" s="357">
        <f t="shared" si="160"/>
        <v>1543</v>
      </c>
      <c r="AC77" s="357">
        <f t="shared" si="160"/>
        <v>0</v>
      </c>
      <c r="AD77" s="684">
        <f t="shared" si="160"/>
        <v>208042</v>
      </c>
      <c r="AE77" s="840">
        <f t="shared" si="160"/>
        <v>0</v>
      </c>
      <c r="AF77" s="358">
        <f t="shared" si="160"/>
        <v>0.39</v>
      </c>
      <c r="AG77" s="358">
        <f t="shared" si="160"/>
        <v>0</v>
      </c>
      <c r="AH77" s="358">
        <f t="shared" si="160"/>
        <v>0</v>
      </c>
      <c r="AI77" s="358">
        <f t="shared" si="160"/>
        <v>0</v>
      </c>
      <c r="AJ77" s="358">
        <f t="shared" si="160"/>
        <v>0</v>
      </c>
      <c r="AK77" s="258">
        <f t="shared" si="160"/>
        <v>0.39</v>
      </c>
      <c r="AL77" s="687">
        <f t="shared" si="160"/>
        <v>7611588</v>
      </c>
      <c r="AM77" s="443">
        <f t="shared" si="160"/>
        <v>5646579</v>
      </c>
      <c r="AN77" s="357">
        <f t="shared" si="160"/>
        <v>0</v>
      </c>
      <c r="AO77" s="357">
        <f t="shared" si="160"/>
        <v>1908544</v>
      </c>
      <c r="AP77" s="357">
        <f t="shared" si="160"/>
        <v>56465</v>
      </c>
      <c r="AQ77" s="357">
        <f t="shared" si="160"/>
        <v>0</v>
      </c>
      <c r="AR77" s="258">
        <f t="shared" si="160"/>
        <v>10.0655</v>
      </c>
      <c r="AS77" s="240"/>
    </row>
    <row r="78" spans="1:45" ht="12.95" customHeight="1" x14ac:dyDescent="0.25">
      <c r="A78" s="205">
        <v>17</v>
      </c>
      <c r="B78" s="246">
        <v>5479</v>
      </c>
      <c r="C78" s="247">
        <v>600099105</v>
      </c>
      <c r="D78" s="206">
        <v>70910600</v>
      </c>
      <c r="E78" s="388" t="s">
        <v>769</v>
      </c>
      <c r="F78" s="246">
        <v>3113</v>
      </c>
      <c r="G78" s="270" t="s">
        <v>294</v>
      </c>
      <c r="H78" s="209" t="s">
        <v>262</v>
      </c>
      <c r="I78" s="586">
        <f t="shared" ref="I78:I82" si="162">SUM(J78:M78)</f>
        <v>16127124</v>
      </c>
      <c r="J78" s="678">
        <v>11963741</v>
      </c>
      <c r="K78" s="55">
        <f>ROUND(J78*33.8%,0)+1</f>
        <v>4043745</v>
      </c>
      <c r="L78" s="55">
        <f>ROUND(J78*1%,0)+1</f>
        <v>119638</v>
      </c>
      <c r="M78" s="325">
        <v>0</v>
      </c>
      <c r="N78" s="752">
        <v>15.6815</v>
      </c>
      <c r="O78" s="445">
        <f t="shared" ref="O78:O82" si="163">V78*-1</f>
        <v>0</v>
      </c>
      <c r="P78" s="578">
        <v>0</v>
      </c>
      <c r="Q78" s="325">
        <v>0</v>
      </c>
      <c r="R78" s="325">
        <v>0</v>
      </c>
      <c r="S78" s="325">
        <v>0</v>
      </c>
      <c r="T78" s="325">
        <v>0</v>
      </c>
      <c r="U78" s="492">
        <f>O78+P78+Q78+R78+S78+T78</f>
        <v>0</v>
      </c>
      <c r="V78" s="325">
        <v>0</v>
      </c>
      <c r="W78" s="325">
        <v>0</v>
      </c>
      <c r="X78" s="325">
        <v>0</v>
      </c>
      <c r="Y78" s="492">
        <f t="shared" ref="Y78:Y82" si="164">V78+W78+X78</f>
        <v>0</v>
      </c>
      <c r="Z78" s="492">
        <f t="shared" ref="Z78:Z82" si="165">U78+Y78</f>
        <v>0</v>
      </c>
      <c r="AA78" s="494">
        <f t="shared" ref="AA78:AA82" si="166">ROUND((U78+Y78)*33.8%,0)</f>
        <v>0</v>
      </c>
      <c r="AB78" s="494">
        <f t="shared" ref="AB78:AB82" si="167">ROUND(U78*1%,0)</f>
        <v>0</v>
      </c>
      <c r="AC78" s="492">
        <v>0</v>
      </c>
      <c r="AD78" s="789">
        <f t="shared" ref="AD78:AD82" si="168">Z78+AA78+AB78+AC78</f>
        <v>0</v>
      </c>
      <c r="AE78" s="715">
        <v>0</v>
      </c>
      <c r="AF78" s="582">
        <v>0</v>
      </c>
      <c r="AG78" s="326">
        <v>0</v>
      </c>
      <c r="AH78" s="326">
        <v>0</v>
      </c>
      <c r="AI78" s="326">
        <v>0</v>
      </c>
      <c r="AJ78" s="326">
        <v>0</v>
      </c>
      <c r="AK78" s="626">
        <f>SUM(AE78:AJ78)</f>
        <v>0</v>
      </c>
      <c r="AL78" s="696">
        <f>I78+AD78</f>
        <v>16127124</v>
      </c>
      <c r="AM78" s="492">
        <f>J78+U78</f>
        <v>11963741</v>
      </c>
      <c r="AN78" s="492">
        <f>Y78</f>
        <v>0</v>
      </c>
      <c r="AO78" s="492">
        <f t="shared" ref="AO78:AQ82" si="169">K78+AA78</f>
        <v>4043745</v>
      </c>
      <c r="AP78" s="492">
        <f t="shared" si="169"/>
        <v>119638</v>
      </c>
      <c r="AQ78" s="492">
        <f t="shared" si="169"/>
        <v>0</v>
      </c>
      <c r="AR78" s="626">
        <f>N78+AK78</f>
        <v>15.6815</v>
      </c>
      <c r="AS78" s="240"/>
    </row>
    <row r="79" spans="1:45" ht="12.95" customHeight="1" x14ac:dyDescent="0.25">
      <c r="A79" s="205">
        <v>17</v>
      </c>
      <c r="B79" s="246">
        <v>5479</v>
      </c>
      <c r="C79" s="247">
        <v>600099105</v>
      </c>
      <c r="D79" s="206">
        <v>70910600</v>
      </c>
      <c r="E79" s="388" t="s">
        <v>769</v>
      </c>
      <c r="F79" s="246">
        <v>3113</v>
      </c>
      <c r="G79" s="211" t="s">
        <v>279</v>
      </c>
      <c r="H79" s="209" t="s">
        <v>262</v>
      </c>
      <c r="I79" s="586">
        <f t="shared" si="162"/>
        <v>516966</v>
      </c>
      <c r="J79" s="678">
        <v>383506</v>
      </c>
      <c r="K79" s="55">
        <f t="shared" ref="K79:K82" si="170">ROUND(J79*33.8%,0)</f>
        <v>129625</v>
      </c>
      <c r="L79" s="55">
        <f t="shared" ref="L79:L82" si="171">ROUND(J79*1%,0)</f>
        <v>3835</v>
      </c>
      <c r="M79" s="325">
        <v>0</v>
      </c>
      <c r="N79" s="752">
        <v>0.80559999999999998</v>
      </c>
      <c r="O79" s="440">
        <f t="shared" si="163"/>
        <v>0</v>
      </c>
      <c r="P79" s="578">
        <v>0</v>
      </c>
      <c r="Q79" s="325">
        <v>0</v>
      </c>
      <c r="R79" s="325">
        <v>0</v>
      </c>
      <c r="S79" s="325">
        <v>0</v>
      </c>
      <c r="T79" s="325">
        <v>0</v>
      </c>
      <c r="U79" s="492">
        <f>O79+P79+Q79+R79+S79+T79</f>
        <v>0</v>
      </c>
      <c r="V79" s="325">
        <v>0</v>
      </c>
      <c r="W79" s="325">
        <v>0</v>
      </c>
      <c r="X79" s="325">
        <v>0</v>
      </c>
      <c r="Y79" s="492">
        <f t="shared" si="164"/>
        <v>0</v>
      </c>
      <c r="Z79" s="492">
        <f t="shared" si="165"/>
        <v>0</v>
      </c>
      <c r="AA79" s="494">
        <f t="shared" si="166"/>
        <v>0</v>
      </c>
      <c r="AB79" s="494">
        <f t="shared" si="167"/>
        <v>0</v>
      </c>
      <c r="AC79" s="492">
        <v>0</v>
      </c>
      <c r="AD79" s="789">
        <f t="shared" si="168"/>
        <v>0</v>
      </c>
      <c r="AE79" s="715">
        <v>0</v>
      </c>
      <c r="AF79" s="582">
        <v>0</v>
      </c>
      <c r="AG79" s="326">
        <v>0</v>
      </c>
      <c r="AH79" s="326">
        <v>0</v>
      </c>
      <c r="AI79" s="326">
        <v>0</v>
      </c>
      <c r="AJ79" s="326">
        <v>0</v>
      </c>
      <c r="AK79" s="626">
        <f>SUM(AE79:AJ79)</f>
        <v>0</v>
      </c>
      <c r="AL79" s="696">
        <f>I79+AD79</f>
        <v>516966</v>
      </c>
      <c r="AM79" s="492">
        <f>J79+U79</f>
        <v>383506</v>
      </c>
      <c r="AN79" s="492">
        <f>Y79</f>
        <v>0</v>
      </c>
      <c r="AO79" s="492">
        <f t="shared" si="169"/>
        <v>129625</v>
      </c>
      <c r="AP79" s="492">
        <f t="shared" si="169"/>
        <v>3835</v>
      </c>
      <c r="AQ79" s="492">
        <f t="shared" si="169"/>
        <v>0</v>
      </c>
      <c r="AR79" s="626">
        <f>N79+AK79</f>
        <v>0.80559999999999998</v>
      </c>
      <c r="AS79" s="240"/>
    </row>
    <row r="80" spans="1:45" ht="12.95" customHeight="1" x14ac:dyDescent="0.25">
      <c r="A80" s="205">
        <v>17</v>
      </c>
      <c r="B80" s="246">
        <v>5479</v>
      </c>
      <c r="C80" s="247">
        <v>600099105</v>
      </c>
      <c r="D80" s="206">
        <v>70910600</v>
      </c>
      <c r="E80" s="388" t="s">
        <v>769</v>
      </c>
      <c r="F80" s="246">
        <v>3113</v>
      </c>
      <c r="G80" s="209" t="s">
        <v>278</v>
      </c>
      <c r="H80" s="209" t="s">
        <v>263</v>
      </c>
      <c r="I80" s="586">
        <f t="shared" si="162"/>
        <v>0</v>
      </c>
      <c r="J80" s="678"/>
      <c r="K80" s="55">
        <f t="shared" si="170"/>
        <v>0</v>
      </c>
      <c r="L80" s="55">
        <f t="shared" si="171"/>
        <v>0</v>
      </c>
      <c r="M80" s="325">
        <v>0</v>
      </c>
      <c r="N80" s="752"/>
      <c r="O80" s="440">
        <f t="shared" si="163"/>
        <v>0</v>
      </c>
      <c r="P80" s="578">
        <v>2352396</v>
      </c>
      <c r="Q80" s="325">
        <v>0</v>
      </c>
      <c r="R80" s="325">
        <v>0</v>
      </c>
      <c r="S80" s="325">
        <v>0</v>
      </c>
      <c r="T80" s="325">
        <v>0</v>
      </c>
      <c r="U80" s="492">
        <f>O80+P80+Q80+R80+S80+T80</f>
        <v>2352396</v>
      </c>
      <c r="V80" s="325">
        <v>0</v>
      </c>
      <c r="W80" s="325">
        <v>0</v>
      </c>
      <c r="X80" s="325">
        <v>0</v>
      </c>
      <c r="Y80" s="492">
        <f t="shared" si="164"/>
        <v>0</v>
      </c>
      <c r="Z80" s="492">
        <f t="shared" si="165"/>
        <v>2352396</v>
      </c>
      <c r="AA80" s="494">
        <f t="shared" si="166"/>
        <v>795110</v>
      </c>
      <c r="AB80" s="494">
        <f t="shared" si="167"/>
        <v>23524</v>
      </c>
      <c r="AC80" s="492">
        <v>0</v>
      </c>
      <c r="AD80" s="789">
        <f t="shared" si="168"/>
        <v>3171030</v>
      </c>
      <c r="AE80" s="715">
        <v>0</v>
      </c>
      <c r="AF80" s="582">
        <v>5.0999999999999996</v>
      </c>
      <c r="AG80" s="326">
        <v>0</v>
      </c>
      <c r="AH80" s="326">
        <v>0</v>
      </c>
      <c r="AI80" s="326">
        <v>0</v>
      </c>
      <c r="AJ80" s="326">
        <v>0</v>
      </c>
      <c r="AK80" s="626">
        <f>SUM(AE80:AJ80)</f>
        <v>5.0999999999999996</v>
      </c>
      <c r="AL80" s="696">
        <f>I80+AD80</f>
        <v>3171030</v>
      </c>
      <c r="AM80" s="492">
        <f>J80+U80</f>
        <v>2352396</v>
      </c>
      <c r="AN80" s="492">
        <f>Y80</f>
        <v>0</v>
      </c>
      <c r="AO80" s="492">
        <f t="shared" si="169"/>
        <v>795110</v>
      </c>
      <c r="AP80" s="492">
        <f t="shared" si="169"/>
        <v>23524</v>
      </c>
      <c r="AQ80" s="492">
        <f t="shared" si="169"/>
        <v>0</v>
      </c>
      <c r="AR80" s="626">
        <f>N80+AK80</f>
        <v>5.0999999999999996</v>
      </c>
      <c r="AS80" s="240"/>
    </row>
    <row r="81" spans="1:45" ht="12.95" customHeight="1" x14ac:dyDescent="0.25">
      <c r="A81" s="205">
        <v>17</v>
      </c>
      <c r="B81" s="246">
        <v>5479</v>
      </c>
      <c r="C81" s="247">
        <v>600099105</v>
      </c>
      <c r="D81" s="206">
        <v>70910600</v>
      </c>
      <c r="E81" s="388" t="s">
        <v>769</v>
      </c>
      <c r="F81" s="246">
        <v>3143</v>
      </c>
      <c r="G81" s="209" t="s">
        <v>795</v>
      </c>
      <c r="H81" s="209" t="s">
        <v>262</v>
      </c>
      <c r="I81" s="586">
        <f t="shared" si="162"/>
        <v>1462508</v>
      </c>
      <c r="J81" s="678">
        <v>1084947</v>
      </c>
      <c r="K81" s="55">
        <f t="shared" si="170"/>
        <v>366712</v>
      </c>
      <c r="L81" s="55">
        <f t="shared" si="171"/>
        <v>10849</v>
      </c>
      <c r="M81" s="325">
        <v>0</v>
      </c>
      <c r="N81" s="752">
        <v>1.9167000000000001</v>
      </c>
      <c r="O81" s="440">
        <f t="shared" si="163"/>
        <v>0</v>
      </c>
      <c r="P81" s="578">
        <v>0</v>
      </c>
      <c r="Q81" s="325">
        <v>0</v>
      </c>
      <c r="R81" s="325">
        <v>0</v>
      </c>
      <c r="S81" s="325">
        <v>0</v>
      </c>
      <c r="T81" s="325">
        <v>0</v>
      </c>
      <c r="U81" s="492">
        <f>O81+P81+Q81+R81+S81+T81</f>
        <v>0</v>
      </c>
      <c r="V81" s="325">
        <v>0</v>
      </c>
      <c r="W81" s="325">
        <v>0</v>
      </c>
      <c r="X81" s="325">
        <v>0</v>
      </c>
      <c r="Y81" s="492">
        <f t="shared" si="164"/>
        <v>0</v>
      </c>
      <c r="Z81" s="492">
        <f t="shared" si="165"/>
        <v>0</v>
      </c>
      <c r="AA81" s="494">
        <f t="shared" si="166"/>
        <v>0</v>
      </c>
      <c r="AB81" s="494">
        <f t="shared" si="167"/>
        <v>0</v>
      </c>
      <c r="AC81" s="492">
        <v>0</v>
      </c>
      <c r="AD81" s="789">
        <f t="shared" si="168"/>
        <v>0</v>
      </c>
      <c r="AE81" s="715">
        <v>0</v>
      </c>
      <c r="AF81" s="582">
        <v>0</v>
      </c>
      <c r="AG81" s="326">
        <v>0</v>
      </c>
      <c r="AH81" s="326">
        <v>0</v>
      </c>
      <c r="AI81" s="326">
        <v>0</v>
      </c>
      <c r="AJ81" s="326">
        <v>0</v>
      </c>
      <c r="AK81" s="626">
        <f>SUM(AE81:AJ81)</f>
        <v>0</v>
      </c>
      <c r="AL81" s="696">
        <f>I81+AD81</f>
        <v>1462508</v>
      </c>
      <c r="AM81" s="492">
        <f>J81+U81</f>
        <v>1084947</v>
      </c>
      <c r="AN81" s="492">
        <f>Y81</f>
        <v>0</v>
      </c>
      <c r="AO81" s="492">
        <f t="shared" si="169"/>
        <v>366712</v>
      </c>
      <c r="AP81" s="492">
        <f t="shared" si="169"/>
        <v>10849</v>
      </c>
      <c r="AQ81" s="492">
        <f t="shared" si="169"/>
        <v>0</v>
      </c>
      <c r="AR81" s="626">
        <f>N81+AK81</f>
        <v>1.9167000000000001</v>
      </c>
      <c r="AS81" s="240"/>
    </row>
    <row r="82" spans="1:45" ht="12.95" customHeight="1" x14ac:dyDescent="0.25">
      <c r="A82" s="205">
        <v>17</v>
      </c>
      <c r="B82" s="246">
        <v>5479</v>
      </c>
      <c r="C82" s="247">
        <v>600099105</v>
      </c>
      <c r="D82" s="206">
        <v>70910600</v>
      </c>
      <c r="E82" s="388" t="s">
        <v>769</v>
      </c>
      <c r="F82" s="246">
        <v>3233</v>
      </c>
      <c r="G82" s="270" t="s">
        <v>283</v>
      </c>
      <c r="H82" s="209" t="s">
        <v>263</v>
      </c>
      <c r="I82" s="586">
        <f t="shared" si="162"/>
        <v>1828972</v>
      </c>
      <c r="J82" s="678">
        <v>1356804</v>
      </c>
      <c r="K82" s="55">
        <f t="shared" si="170"/>
        <v>458600</v>
      </c>
      <c r="L82" s="55">
        <f t="shared" si="171"/>
        <v>13568</v>
      </c>
      <c r="M82" s="325">
        <v>0</v>
      </c>
      <c r="N82" s="752">
        <v>2.2999999999999998</v>
      </c>
      <c r="O82" s="440">
        <f t="shared" si="163"/>
        <v>0</v>
      </c>
      <c r="P82" s="578">
        <v>0</v>
      </c>
      <c r="Q82" s="325">
        <v>0</v>
      </c>
      <c r="R82" s="325">
        <v>0</v>
      </c>
      <c r="S82" s="325">
        <v>0</v>
      </c>
      <c r="T82" s="325">
        <v>0</v>
      </c>
      <c r="U82" s="492">
        <f>O82+P82+Q82+R82+S82+T82</f>
        <v>0</v>
      </c>
      <c r="V82" s="325">
        <v>0</v>
      </c>
      <c r="W82" s="325">
        <v>0</v>
      </c>
      <c r="X82" s="325">
        <v>0</v>
      </c>
      <c r="Y82" s="492">
        <f t="shared" si="164"/>
        <v>0</v>
      </c>
      <c r="Z82" s="492">
        <f t="shared" si="165"/>
        <v>0</v>
      </c>
      <c r="AA82" s="494">
        <f t="shared" si="166"/>
        <v>0</v>
      </c>
      <c r="AB82" s="494">
        <f t="shared" si="167"/>
        <v>0</v>
      </c>
      <c r="AC82" s="492">
        <v>0</v>
      </c>
      <c r="AD82" s="789">
        <f t="shared" si="168"/>
        <v>0</v>
      </c>
      <c r="AE82" s="715">
        <v>0</v>
      </c>
      <c r="AF82" s="582">
        <v>0</v>
      </c>
      <c r="AG82" s="326">
        <v>0</v>
      </c>
      <c r="AH82" s="326">
        <v>0</v>
      </c>
      <c r="AI82" s="326">
        <v>0</v>
      </c>
      <c r="AJ82" s="326">
        <v>0</v>
      </c>
      <c r="AK82" s="626">
        <f>SUM(AE82:AJ82)</f>
        <v>0</v>
      </c>
      <c r="AL82" s="696">
        <f>I82+AD82</f>
        <v>1828972</v>
      </c>
      <c r="AM82" s="492">
        <f>J82+U82</f>
        <v>1356804</v>
      </c>
      <c r="AN82" s="492">
        <f>Y82</f>
        <v>0</v>
      </c>
      <c r="AO82" s="492">
        <f t="shared" si="169"/>
        <v>458600</v>
      </c>
      <c r="AP82" s="492">
        <f t="shared" si="169"/>
        <v>13568</v>
      </c>
      <c r="AQ82" s="492">
        <f t="shared" si="169"/>
        <v>0</v>
      </c>
      <c r="AR82" s="626">
        <f>N82+AK82</f>
        <v>2.2999999999999998</v>
      </c>
      <c r="AS82" s="240"/>
    </row>
    <row r="83" spans="1:45" ht="12.95" customHeight="1" x14ac:dyDescent="0.25">
      <c r="A83" s="198">
        <v>17</v>
      </c>
      <c r="B83" s="250">
        <v>5479</v>
      </c>
      <c r="C83" s="251">
        <v>600099105</v>
      </c>
      <c r="D83" s="250">
        <v>70910600</v>
      </c>
      <c r="E83" s="389" t="s">
        <v>770</v>
      </c>
      <c r="F83" s="250"/>
      <c r="G83" s="275"/>
      <c r="H83" s="568"/>
      <c r="I83" s="664">
        <f t="shared" ref="I83:AR83" si="172">SUM(I78:I82)</f>
        <v>19935570</v>
      </c>
      <c r="J83" s="679">
        <f t="shared" si="172"/>
        <v>14788998</v>
      </c>
      <c r="K83" s="355">
        <f t="shared" si="172"/>
        <v>4998682</v>
      </c>
      <c r="L83" s="355">
        <f t="shared" si="172"/>
        <v>147890</v>
      </c>
      <c r="M83" s="355">
        <f t="shared" ref="M83" si="173">SUM(M78:M82)</f>
        <v>0</v>
      </c>
      <c r="N83" s="753">
        <f t="shared" si="172"/>
        <v>20.703799999999998</v>
      </c>
      <c r="O83" s="442">
        <f t="shared" si="172"/>
        <v>0</v>
      </c>
      <c r="P83" s="442">
        <f t="shared" si="172"/>
        <v>2352396</v>
      </c>
      <c r="Q83" s="355">
        <f t="shared" si="172"/>
        <v>0</v>
      </c>
      <c r="R83" s="355">
        <f t="shared" si="172"/>
        <v>0</v>
      </c>
      <c r="S83" s="355">
        <f t="shared" si="172"/>
        <v>0</v>
      </c>
      <c r="T83" s="355">
        <f t="shared" si="172"/>
        <v>0</v>
      </c>
      <c r="U83" s="355">
        <f t="shared" si="172"/>
        <v>2352396</v>
      </c>
      <c r="V83" s="355">
        <f t="shared" si="172"/>
        <v>0</v>
      </c>
      <c r="W83" s="355">
        <f t="shared" si="172"/>
        <v>0</v>
      </c>
      <c r="X83" s="355">
        <f t="shared" si="172"/>
        <v>0</v>
      </c>
      <c r="Y83" s="355">
        <f t="shared" si="172"/>
        <v>0</v>
      </c>
      <c r="Z83" s="355">
        <f t="shared" si="172"/>
        <v>2352396</v>
      </c>
      <c r="AA83" s="355">
        <f t="shared" si="172"/>
        <v>795110</v>
      </c>
      <c r="AB83" s="355">
        <f t="shared" si="172"/>
        <v>23524</v>
      </c>
      <c r="AC83" s="355">
        <f t="shared" si="172"/>
        <v>0</v>
      </c>
      <c r="AD83" s="683">
        <f t="shared" si="172"/>
        <v>3171030</v>
      </c>
      <c r="AE83" s="839">
        <f t="shared" si="172"/>
        <v>0</v>
      </c>
      <c r="AF83" s="356">
        <f t="shared" si="172"/>
        <v>5.0999999999999996</v>
      </c>
      <c r="AG83" s="356">
        <f t="shared" si="172"/>
        <v>0</v>
      </c>
      <c r="AH83" s="356">
        <f t="shared" si="172"/>
        <v>0</v>
      </c>
      <c r="AI83" s="356">
        <f t="shared" si="172"/>
        <v>0</v>
      </c>
      <c r="AJ83" s="356">
        <f t="shared" si="172"/>
        <v>0</v>
      </c>
      <c r="AK83" s="253">
        <f t="shared" si="172"/>
        <v>5.0999999999999996</v>
      </c>
      <c r="AL83" s="686">
        <f t="shared" si="172"/>
        <v>23106600</v>
      </c>
      <c r="AM83" s="442">
        <f t="shared" si="172"/>
        <v>17141394</v>
      </c>
      <c r="AN83" s="355">
        <f t="shared" si="172"/>
        <v>0</v>
      </c>
      <c r="AO83" s="355">
        <f t="shared" si="172"/>
        <v>5793792</v>
      </c>
      <c r="AP83" s="355">
        <f t="shared" si="172"/>
        <v>171414</v>
      </c>
      <c r="AQ83" s="355">
        <f t="shared" si="172"/>
        <v>0</v>
      </c>
      <c r="AR83" s="253">
        <f t="shared" si="172"/>
        <v>25.803799999999999</v>
      </c>
      <c r="AS83" s="240"/>
    </row>
    <row r="84" spans="1:45" ht="12.95" customHeight="1" x14ac:dyDescent="0.25">
      <c r="A84" s="205">
        <v>18</v>
      </c>
      <c r="B84" s="246">
        <v>5442</v>
      </c>
      <c r="C84" s="247">
        <v>650030541</v>
      </c>
      <c r="D84" s="206">
        <v>75017512</v>
      </c>
      <c r="E84" s="273" t="s">
        <v>426</v>
      </c>
      <c r="F84" s="246">
        <v>3111</v>
      </c>
      <c r="G84" s="270" t="s">
        <v>290</v>
      </c>
      <c r="H84" s="209" t="s">
        <v>262</v>
      </c>
      <c r="I84" s="586">
        <f t="shared" ref="I84:I87" si="174">SUM(J84:M84)</f>
        <v>2894985</v>
      </c>
      <c r="J84" s="678">
        <v>2147615</v>
      </c>
      <c r="K84" s="55">
        <f t="shared" ref="K84:K87" si="175">ROUND(J84*33.8%,0)</f>
        <v>725894</v>
      </c>
      <c r="L84" s="55">
        <f t="shared" ref="L84:L87" si="176">ROUND(J84*1%,0)</f>
        <v>21476</v>
      </c>
      <c r="M84" s="325">
        <v>0</v>
      </c>
      <c r="N84" s="752">
        <v>3.5</v>
      </c>
      <c r="O84" s="445">
        <f t="shared" ref="O84:O87" si="177">V84*-1</f>
        <v>0</v>
      </c>
      <c r="P84" s="578">
        <v>0</v>
      </c>
      <c r="Q84" s="325">
        <v>0</v>
      </c>
      <c r="R84" s="325">
        <v>0</v>
      </c>
      <c r="S84" s="325">
        <v>0</v>
      </c>
      <c r="T84" s="325">
        <v>0</v>
      </c>
      <c r="U84" s="492">
        <f>O84+P84+Q84+R84+S84+T84</f>
        <v>0</v>
      </c>
      <c r="V84" s="325">
        <v>0</v>
      </c>
      <c r="W84" s="325">
        <v>0</v>
      </c>
      <c r="X84" s="325">
        <v>0</v>
      </c>
      <c r="Y84" s="492">
        <f t="shared" ref="Y84:Y87" si="178">V84+W84+X84</f>
        <v>0</v>
      </c>
      <c r="Z84" s="492">
        <f t="shared" ref="Z84:Z87" si="179">U84+Y84</f>
        <v>0</v>
      </c>
      <c r="AA84" s="494">
        <f t="shared" ref="AA84:AA87" si="180">ROUND((U84+Y84)*33.8%,0)</f>
        <v>0</v>
      </c>
      <c r="AB84" s="494">
        <f t="shared" ref="AB84:AB87" si="181">ROUND(U84*1%,0)</f>
        <v>0</v>
      </c>
      <c r="AC84" s="492">
        <v>0</v>
      </c>
      <c r="AD84" s="789">
        <f t="shared" ref="AD84:AD87" si="182">Z84+AA84+AB84+AC84</f>
        <v>0</v>
      </c>
      <c r="AE84" s="715">
        <v>0</v>
      </c>
      <c r="AF84" s="582">
        <v>0</v>
      </c>
      <c r="AG84" s="326">
        <v>0</v>
      </c>
      <c r="AH84" s="326">
        <v>0</v>
      </c>
      <c r="AI84" s="326">
        <v>0</v>
      </c>
      <c r="AJ84" s="326">
        <v>0</v>
      </c>
      <c r="AK84" s="626">
        <f>SUM(AE84:AJ84)</f>
        <v>0</v>
      </c>
      <c r="AL84" s="696">
        <f>I84+AD84</f>
        <v>2894985</v>
      </c>
      <c r="AM84" s="492">
        <f>J84+U84</f>
        <v>2147615</v>
      </c>
      <c r="AN84" s="492">
        <f>Y84</f>
        <v>0</v>
      </c>
      <c r="AO84" s="492">
        <f t="shared" ref="AO84:AQ87" si="183">K84+AA84</f>
        <v>725894</v>
      </c>
      <c r="AP84" s="492">
        <f t="shared" si="183"/>
        <v>21476</v>
      </c>
      <c r="AQ84" s="492">
        <f t="shared" si="183"/>
        <v>0</v>
      </c>
      <c r="AR84" s="626">
        <f>N84+AK84</f>
        <v>3.5</v>
      </c>
      <c r="AS84" s="240"/>
    </row>
    <row r="85" spans="1:45" ht="12.95" customHeight="1" x14ac:dyDescent="0.25">
      <c r="A85" s="205">
        <v>18</v>
      </c>
      <c r="B85" s="246">
        <v>5442</v>
      </c>
      <c r="C85" s="247">
        <v>650030541</v>
      </c>
      <c r="D85" s="206">
        <v>75017512</v>
      </c>
      <c r="E85" s="273" t="s">
        <v>426</v>
      </c>
      <c r="F85" s="246">
        <v>3113</v>
      </c>
      <c r="G85" s="270" t="s">
        <v>294</v>
      </c>
      <c r="H85" s="209" t="s">
        <v>262</v>
      </c>
      <c r="I85" s="586">
        <f t="shared" si="174"/>
        <v>11217829</v>
      </c>
      <c r="J85" s="678">
        <v>8321831</v>
      </c>
      <c r="K85" s="55">
        <f>ROUND(J85*33.8%,0)</f>
        <v>2812779</v>
      </c>
      <c r="L85" s="55">
        <f>ROUND(J85*1%,0)+1</f>
        <v>83219</v>
      </c>
      <c r="M85" s="325">
        <v>0</v>
      </c>
      <c r="N85" s="752">
        <v>12.0479</v>
      </c>
      <c r="O85" s="440">
        <f t="shared" si="177"/>
        <v>0</v>
      </c>
      <c r="P85" s="578">
        <v>0</v>
      </c>
      <c r="Q85" s="325">
        <v>0</v>
      </c>
      <c r="R85" s="325">
        <v>0</v>
      </c>
      <c r="S85" s="325">
        <v>0</v>
      </c>
      <c r="T85" s="325">
        <v>0</v>
      </c>
      <c r="U85" s="492">
        <f>O85+P85+Q85+R85+S85+T85</f>
        <v>0</v>
      </c>
      <c r="V85" s="325">
        <v>0</v>
      </c>
      <c r="W85" s="325">
        <v>0</v>
      </c>
      <c r="X85" s="325">
        <v>0</v>
      </c>
      <c r="Y85" s="492">
        <f t="shared" si="178"/>
        <v>0</v>
      </c>
      <c r="Z85" s="492">
        <f t="shared" si="179"/>
        <v>0</v>
      </c>
      <c r="AA85" s="494">
        <f t="shared" si="180"/>
        <v>0</v>
      </c>
      <c r="AB85" s="494">
        <f t="shared" si="181"/>
        <v>0</v>
      </c>
      <c r="AC85" s="492">
        <v>0</v>
      </c>
      <c r="AD85" s="789">
        <f t="shared" si="182"/>
        <v>0</v>
      </c>
      <c r="AE85" s="715">
        <v>0</v>
      </c>
      <c r="AF85" s="582">
        <v>0</v>
      </c>
      <c r="AG85" s="326">
        <v>0</v>
      </c>
      <c r="AH85" s="326">
        <v>0</v>
      </c>
      <c r="AI85" s="326">
        <v>0</v>
      </c>
      <c r="AJ85" s="326">
        <v>0</v>
      </c>
      <c r="AK85" s="626">
        <f>SUM(AE85:AJ85)</f>
        <v>0</v>
      </c>
      <c r="AL85" s="696">
        <f>I85+AD85</f>
        <v>11217829</v>
      </c>
      <c r="AM85" s="492">
        <f>J85+U85</f>
        <v>8321831</v>
      </c>
      <c r="AN85" s="492">
        <f>Y85</f>
        <v>0</v>
      </c>
      <c r="AO85" s="492">
        <f t="shared" si="183"/>
        <v>2812779</v>
      </c>
      <c r="AP85" s="492">
        <f t="shared" si="183"/>
        <v>83219</v>
      </c>
      <c r="AQ85" s="492">
        <f t="shared" si="183"/>
        <v>0</v>
      </c>
      <c r="AR85" s="626">
        <f>N85+AK85</f>
        <v>12.0479</v>
      </c>
      <c r="AS85" s="240"/>
    </row>
    <row r="86" spans="1:45" ht="12.95" customHeight="1" x14ac:dyDescent="0.25">
      <c r="A86" s="205">
        <v>18</v>
      </c>
      <c r="B86" s="246">
        <v>5442</v>
      </c>
      <c r="C86" s="247">
        <v>650030541</v>
      </c>
      <c r="D86" s="206">
        <v>75017512</v>
      </c>
      <c r="E86" s="273" t="s">
        <v>426</v>
      </c>
      <c r="F86" s="246">
        <v>3113</v>
      </c>
      <c r="G86" s="209" t="s">
        <v>278</v>
      </c>
      <c r="H86" s="209" t="s">
        <v>263</v>
      </c>
      <c r="I86" s="586">
        <f t="shared" si="174"/>
        <v>0</v>
      </c>
      <c r="J86" s="678"/>
      <c r="K86" s="55">
        <f t="shared" si="175"/>
        <v>0</v>
      </c>
      <c r="L86" s="55">
        <f t="shared" si="176"/>
        <v>0</v>
      </c>
      <c r="M86" s="325">
        <v>0</v>
      </c>
      <c r="N86" s="752"/>
      <c r="O86" s="440">
        <f t="shared" si="177"/>
        <v>0</v>
      </c>
      <c r="P86" s="578">
        <v>859850</v>
      </c>
      <c r="Q86" s="325">
        <v>0</v>
      </c>
      <c r="R86" s="325">
        <v>0</v>
      </c>
      <c r="S86" s="325">
        <v>0</v>
      </c>
      <c r="T86" s="325">
        <v>0</v>
      </c>
      <c r="U86" s="492">
        <f>O86+P86+Q86+R86+S86+T86</f>
        <v>859850</v>
      </c>
      <c r="V86" s="325">
        <v>0</v>
      </c>
      <c r="W86" s="325">
        <v>0</v>
      </c>
      <c r="X86" s="325">
        <v>0</v>
      </c>
      <c r="Y86" s="492">
        <f t="shared" si="178"/>
        <v>0</v>
      </c>
      <c r="Z86" s="492">
        <f t="shared" si="179"/>
        <v>859850</v>
      </c>
      <c r="AA86" s="494">
        <f t="shared" si="180"/>
        <v>290629</v>
      </c>
      <c r="AB86" s="494">
        <f t="shared" si="181"/>
        <v>8599</v>
      </c>
      <c r="AC86" s="492">
        <v>0</v>
      </c>
      <c r="AD86" s="789">
        <f t="shared" si="182"/>
        <v>1159078</v>
      </c>
      <c r="AE86" s="715">
        <v>0</v>
      </c>
      <c r="AF86" s="582">
        <v>2.17</v>
      </c>
      <c r="AG86" s="326">
        <v>0</v>
      </c>
      <c r="AH86" s="326">
        <v>0</v>
      </c>
      <c r="AI86" s="326">
        <v>0</v>
      </c>
      <c r="AJ86" s="326">
        <v>0</v>
      </c>
      <c r="AK86" s="626">
        <f>SUM(AE86:AJ86)</f>
        <v>2.17</v>
      </c>
      <c r="AL86" s="696">
        <f>I86+AD86</f>
        <v>1159078</v>
      </c>
      <c r="AM86" s="492">
        <f>J86+U86</f>
        <v>859850</v>
      </c>
      <c r="AN86" s="492">
        <f>Y86</f>
        <v>0</v>
      </c>
      <c r="AO86" s="492">
        <f t="shared" si="183"/>
        <v>290629</v>
      </c>
      <c r="AP86" s="492">
        <f t="shared" si="183"/>
        <v>8599</v>
      </c>
      <c r="AQ86" s="492">
        <f t="shared" si="183"/>
        <v>0</v>
      </c>
      <c r="AR86" s="626">
        <f>N86+AK86</f>
        <v>2.17</v>
      </c>
      <c r="AS86" s="240"/>
    </row>
    <row r="87" spans="1:45" ht="12.95" customHeight="1" x14ac:dyDescent="0.25">
      <c r="A87" s="205">
        <v>18</v>
      </c>
      <c r="B87" s="246">
        <v>5442</v>
      </c>
      <c r="C87" s="247">
        <v>650030541</v>
      </c>
      <c r="D87" s="206">
        <v>75017512</v>
      </c>
      <c r="E87" s="273" t="s">
        <v>426</v>
      </c>
      <c r="F87" s="246">
        <v>3143</v>
      </c>
      <c r="G87" s="209" t="s">
        <v>794</v>
      </c>
      <c r="H87" s="209" t="s">
        <v>262</v>
      </c>
      <c r="I87" s="586">
        <f t="shared" si="174"/>
        <v>1078732</v>
      </c>
      <c r="J87" s="678">
        <v>800247</v>
      </c>
      <c r="K87" s="55">
        <f t="shared" si="175"/>
        <v>270483</v>
      </c>
      <c r="L87" s="55">
        <f t="shared" si="176"/>
        <v>8002</v>
      </c>
      <c r="M87" s="325">
        <v>0</v>
      </c>
      <c r="N87" s="752">
        <v>1.5999000000000001</v>
      </c>
      <c r="O87" s="440">
        <f t="shared" si="177"/>
        <v>0</v>
      </c>
      <c r="P87" s="578">
        <v>0</v>
      </c>
      <c r="Q87" s="325">
        <v>0</v>
      </c>
      <c r="R87" s="325">
        <v>0</v>
      </c>
      <c r="S87" s="325">
        <v>0</v>
      </c>
      <c r="T87" s="325">
        <v>0</v>
      </c>
      <c r="U87" s="492">
        <f>O87+P87+Q87+R87+S87+T87</f>
        <v>0</v>
      </c>
      <c r="V87" s="325">
        <v>0</v>
      </c>
      <c r="W87" s="325">
        <v>0</v>
      </c>
      <c r="X87" s="325">
        <v>0</v>
      </c>
      <c r="Y87" s="492">
        <f t="shared" si="178"/>
        <v>0</v>
      </c>
      <c r="Z87" s="492">
        <f t="shared" si="179"/>
        <v>0</v>
      </c>
      <c r="AA87" s="494">
        <f t="shared" si="180"/>
        <v>0</v>
      </c>
      <c r="AB87" s="494">
        <f t="shared" si="181"/>
        <v>0</v>
      </c>
      <c r="AC87" s="492">
        <v>0</v>
      </c>
      <c r="AD87" s="789">
        <f t="shared" si="182"/>
        <v>0</v>
      </c>
      <c r="AE87" s="715">
        <v>0</v>
      </c>
      <c r="AF87" s="582">
        <v>0</v>
      </c>
      <c r="AG87" s="326">
        <v>0</v>
      </c>
      <c r="AH87" s="326">
        <v>0</v>
      </c>
      <c r="AI87" s="326">
        <v>0</v>
      </c>
      <c r="AJ87" s="326">
        <v>0</v>
      </c>
      <c r="AK87" s="626">
        <f>SUM(AE87:AJ87)</f>
        <v>0</v>
      </c>
      <c r="AL87" s="696">
        <f>I87+AD87</f>
        <v>1078732</v>
      </c>
      <c r="AM87" s="492">
        <f>J87+U87</f>
        <v>800247</v>
      </c>
      <c r="AN87" s="492">
        <f>Y87</f>
        <v>0</v>
      </c>
      <c r="AO87" s="492">
        <f t="shared" si="183"/>
        <v>270483</v>
      </c>
      <c r="AP87" s="492">
        <f t="shared" si="183"/>
        <v>8002</v>
      </c>
      <c r="AQ87" s="492">
        <f t="shared" si="183"/>
        <v>0</v>
      </c>
      <c r="AR87" s="626">
        <f>N87+AK87</f>
        <v>1.5999000000000001</v>
      </c>
      <c r="AS87" s="240"/>
    </row>
    <row r="88" spans="1:45" ht="12.95" customHeight="1" x14ac:dyDescent="0.25">
      <c r="A88" s="198">
        <v>18</v>
      </c>
      <c r="B88" s="250">
        <v>5442</v>
      </c>
      <c r="C88" s="251">
        <v>650030541</v>
      </c>
      <c r="D88" s="250">
        <v>75017512</v>
      </c>
      <c r="E88" s="274" t="s">
        <v>427</v>
      </c>
      <c r="F88" s="250"/>
      <c r="G88" s="275"/>
      <c r="H88" s="568"/>
      <c r="I88" s="665">
        <f t="shared" ref="I88:AR88" si="184">SUM(I84:I87)</f>
        <v>15191546</v>
      </c>
      <c r="J88" s="680">
        <f t="shared" si="184"/>
        <v>11269693</v>
      </c>
      <c r="K88" s="357">
        <f>SUM(K84:K87)</f>
        <v>3809156</v>
      </c>
      <c r="L88" s="357">
        <f t="shared" si="184"/>
        <v>112697</v>
      </c>
      <c r="M88" s="357">
        <f t="shared" ref="M88" si="185">SUM(M84:M87)</f>
        <v>0</v>
      </c>
      <c r="N88" s="756">
        <f t="shared" si="184"/>
        <v>17.1478</v>
      </c>
      <c r="O88" s="443">
        <f t="shared" si="184"/>
        <v>0</v>
      </c>
      <c r="P88" s="443">
        <f t="shared" si="184"/>
        <v>859850</v>
      </c>
      <c r="Q88" s="357">
        <f t="shared" si="184"/>
        <v>0</v>
      </c>
      <c r="R88" s="357">
        <f t="shared" si="184"/>
        <v>0</v>
      </c>
      <c r="S88" s="357">
        <f t="shared" si="184"/>
        <v>0</v>
      </c>
      <c r="T88" s="357">
        <f t="shared" si="184"/>
        <v>0</v>
      </c>
      <c r="U88" s="357">
        <f t="shared" si="184"/>
        <v>859850</v>
      </c>
      <c r="V88" s="357">
        <f t="shared" si="184"/>
        <v>0</v>
      </c>
      <c r="W88" s="357">
        <f t="shared" si="184"/>
        <v>0</v>
      </c>
      <c r="X88" s="357">
        <f t="shared" si="184"/>
        <v>0</v>
      </c>
      <c r="Y88" s="357">
        <f t="shared" si="184"/>
        <v>0</v>
      </c>
      <c r="Z88" s="357">
        <f t="shared" si="184"/>
        <v>859850</v>
      </c>
      <c r="AA88" s="357">
        <f t="shared" si="184"/>
        <v>290629</v>
      </c>
      <c r="AB88" s="357">
        <f t="shared" si="184"/>
        <v>8599</v>
      </c>
      <c r="AC88" s="357">
        <f t="shared" si="184"/>
        <v>0</v>
      </c>
      <c r="AD88" s="684">
        <f t="shared" si="184"/>
        <v>1159078</v>
      </c>
      <c r="AE88" s="840">
        <f t="shared" si="184"/>
        <v>0</v>
      </c>
      <c r="AF88" s="358">
        <f t="shared" si="184"/>
        <v>2.17</v>
      </c>
      <c r="AG88" s="358">
        <f t="shared" si="184"/>
        <v>0</v>
      </c>
      <c r="AH88" s="358">
        <f t="shared" si="184"/>
        <v>0</v>
      </c>
      <c r="AI88" s="358">
        <f t="shared" si="184"/>
        <v>0</v>
      </c>
      <c r="AJ88" s="358">
        <f t="shared" si="184"/>
        <v>0</v>
      </c>
      <c r="AK88" s="258">
        <f t="shared" si="184"/>
        <v>2.17</v>
      </c>
      <c r="AL88" s="687">
        <f t="shared" si="184"/>
        <v>16350624</v>
      </c>
      <c r="AM88" s="443">
        <f t="shared" si="184"/>
        <v>12129543</v>
      </c>
      <c r="AN88" s="357">
        <f t="shared" si="184"/>
        <v>0</v>
      </c>
      <c r="AO88" s="357">
        <f t="shared" si="184"/>
        <v>4099785</v>
      </c>
      <c r="AP88" s="357">
        <f t="shared" si="184"/>
        <v>121296</v>
      </c>
      <c r="AQ88" s="357">
        <f t="shared" si="184"/>
        <v>0</v>
      </c>
      <c r="AR88" s="258">
        <f t="shared" si="184"/>
        <v>19.317800000000002</v>
      </c>
      <c r="AS88" s="240"/>
    </row>
    <row r="89" spans="1:45" ht="12.95" customHeight="1" x14ac:dyDescent="0.25">
      <c r="A89" s="205">
        <v>19</v>
      </c>
      <c r="B89" s="246">
        <v>5453</v>
      </c>
      <c r="C89" s="247">
        <v>600099211</v>
      </c>
      <c r="D89" s="206">
        <v>854760</v>
      </c>
      <c r="E89" s="273" t="s">
        <v>428</v>
      </c>
      <c r="F89" s="246">
        <v>3111</v>
      </c>
      <c r="G89" s="270" t="s">
        <v>290</v>
      </c>
      <c r="H89" s="209" t="s">
        <v>262</v>
      </c>
      <c r="I89" s="586">
        <f t="shared" ref="I89:I94" si="186">SUM(J89:M89)</f>
        <v>6443469</v>
      </c>
      <c r="J89" s="678">
        <v>4780022</v>
      </c>
      <c r="K89" s="55">
        <f t="shared" ref="K89:K94" si="187">ROUND(J89*33.8%,0)</f>
        <v>1615647</v>
      </c>
      <c r="L89" s="55">
        <f t="shared" ref="L89:L94" si="188">ROUND(J89*1%,0)</f>
        <v>47800</v>
      </c>
      <c r="M89" s="325">
        <v>0</v>
      </c>
      <c r="N89" s="752">
        <v>8</v>
      </c>
      <c r="O89" s="445">
        <f t="shared" ref="O89:O94" si="189">V89*-1</f>
        <v>0</v>
      </c>
      <c r="P89" s="578">
        <v>0</v>
      </c>
      <c r="Q89" s="325">
        <v>0</v>
      </c>
      <c r="R89" s="325">
        <v>0</v>
      </c>
      <c r="S89" s="325">
        <v>0</v>
      </c>
      <c r="T89" s="325">
        <v>0</v>
      </c>
      <c r="U89" s="492">
        <f t="shared" ref="U89:U94" si="190">O89+P89+Q89+R89+S89+T89</f>
        <v>0</v>
      </c>
      <c r="V89" s="325">
        <v>0</v>
      </c>
      <c r="W89" s="325">
        <v>0</v>
      </c>
      <c r="X89" s="325">
        <v>0</v>
      </c>
      <c r="Y89" s="492">
        <f t="shared" ref="Y89:Y94" si="191">V89+W89+X89</f>
        <v>0</v>
      </c>
      <c r="Z89" s="492">
        <f t="shared" ref="Z89:Z94" si="192">U89+Y89</f>
        <v>0</v>
      </c>
      <c r="AA89" s="494">
        <f t="shared" ref="AA89:AA94" si="193">ROUND((U89+Y89)*33.8%,0)</f>
        <v>0</v>
      </c>
      <c r="AB89" s="494">
        <f t="shared" ref="AB89:AB94" si="194">ROUND(U89*1%,0)</f>
        <v>0</v>
      </c>
      <c r="AC89" s="492">
        <v>0</v>
      </c>
      <c r="AD89" s="789">
        <f t="shared" ref="AD89:AD94" si="195">Z89+AA89+AB89+AC89</f>
        <v>0</v>
      </c>
      <c r="AE89" s="715">
        <v>0</v>
      </c>
      <c r="AF89" s="582">
        <v>0</v>
      </c>
      <c r="AG89" s="326">
        <v>0</v>
      </c>
      <c r="AH89" s="326">
        <v>0</v>
      </c>
      <c r="AI89" s="326">
        <v>0</v>
      </c>
      <c r="AJ89" s="326">
        <v>0</v>
      </c>
      <c r="AK89" s="626">
        <f t="shared" ref="AK89:AK94" si="196">SUM(AE89:AJ89)</f>
        <v>0</v>
      </c>
      <c r="AL89" s="696">
        <f t="shared" ref="AL89:AL94" si="197">I89+AD89</f>
        <v>6443469</v>
      </c>
      <c r="AM89" s="492">
        <f t="shared" ref="AM89:AM94" si="198">J89+U89</f>
        <v>4780022</v>
      </c>
      <c r="AN89" s="492">
        <f t="shared" ref="AN89:AN94" si="199">Y89</f>
        <v>0</v>
      </c>
      <c r="AO89" s="492">
        <f t="shared" ref="AO89:AQ94" si="200">K89+AA89</f>
        <v>1615647</v>
      </c>
      <c r="AP89" s="492">
        <f t="shared" si="200"/>
        <v>47800</v>
      </c>
      <c r="AQ89" s="492">
        <f t="shared" si="200"/>
        <v>0</v>
      </c>
      <c r="AR89" s="626">
        <f t="shared" ref="AR89:AR94" si="201">N89+AK89</f>
        <v>8</v>
      </c>
      <c r="AS89" s="240"/>
    </row>
    <row r="90" spans="1:45" ht="12.95" customHeight="1" x14ac:dyDescent="0.25">
      <c r="A90" s="205">
        <v>19</v>
      </c>
      <c r="B90" s="246">
        <v>5453</v>
      </c>
      <c r="C90" s="247">
        <v>600099211</v>
      </c>
      <c r="D90" s="206">
        <v>854760</v>
      </c>
      <c r="E90" s="273" t="s">
        <v>428</v>
      </c>
      <c r="F90" s="246">
        <v>3113</v>
      </c>
      <c r="G90" s="270" t="s">
        <v>294</v>
      </c>
      <c r="H90" s="209" t="s">
        <v>262</v>
      </c>
      <c r="I90" s="586">
        <f t="shared" si="186"/>
        <v>18949625</v>
      </c>
      <c r="J90" s="678">
        <v>14057585</v>
      </c>
      <c r="K90" s="55">
        <f t="shared" si="187"/>
        <v>4751464</v>
      </c>
      <c r="L90" s="55">
        <f t="shared" si="188"/>
        <v>140576</v>
      </c>
      <c r="M90" s="325">
        <v>0</v>
      </c>
      <c r="N90" s="752">
        <v>19.699200000000001</v>
      </c>
      <c r="O90" s="440">
        <f t="shared" si="189"/>
        <v>-15000</v>
      </c>
      <c r="P90" s="578">
        <v>0</v>
      </c>
      <c r="Q90" s="325">
        <v>0</v>
      </c>
      <c r="R90" s="325">
        <v>0</v>
      </c>
      <c r="S90" s="325">
        <v>0</v>
      </c>
      <c r="T90" s="325">
        <v>0</v>
      </c>
      <c r="U90" s="492">
        <f t="shared" si="190"/>
        <v>-15000</v>
      </c>
      <c r="V90" s="325">
        <v>15000</v>
      </c>
      <c r="W90" s="325">
        <v>0</v>
      </c>
      <c r="X90" s="325">
        <v>0</v>
      </c>
      <c r="Y90" s="492">
        <f t="shared" si="191"/>
        <v>15000</v>
      </c>
      <c r="Z90" s="492">
        <f t="shared" si="192"/>
        <v>0</v>
      </c>
      <c r="AA90" s="494">
        <f t="shared" si="193"/>
        <v>0</v>
      </c>
      <c r="AB90" s="494">
        <f t="shared" si="194"/>
        <v>-150</v>
      </c>
      <c r="AC90" s="492">
        <v>0</v>
      </c>
      <c r="AD90" s="789">
        <f t="shared" si="195"/>
        <v>-150</v>
      </c>
      <c r="AE90" s="715">
        <v>-0.02</v>
      </c>
      <c r="AF90" s="582">
        <v>0</v>
      </c>
      <c r="AG90" s="326">
        <v>0</v>
      </c>
      <c r="AH90" s="326">
        <v>0</v>
      </c>
      <c r="AI90" s="326">
        <v>0</v>
      </c>
      <c r="AJ90" s="326">
        <v>0</v>
      </c>
      <c r="AK90" s="626">
        <f t="shared" si="196"/>
        <v>-0.02</v>
      </c>
      <c r="AL90" s="696">
        <f t="shared" si="197"/>
        <v>18949475</v>
      </c>
      <c r="AM90" s="492">
        <f t="shared" si="198"/>
        <v>14042585</v>
      </c>
      <c r="AN90" s="492">
        <f t="shared" si="199"/>
        <v>15000</v>
      </c>
      <c r="AO90" s="492">
        <f t="shared" si="200"/>
        <v>4751464</v>
      </c>
      <c r="AP90" s="492">
        <f t="shared" si="200"/>
        <v>140426</v>
      </c>
      <c r="AQ90" s="492">
        <f t="shared" si="200"/>
        <v>0</v>
      </c>
      <c r="AR90" s="626">
        <f t="shared" si="201"/>
        <v>19.679200000000002</v>
      </c>
      <c r="AS90" s="240"/>
    </row>
    <row r="91" spans="1:45" ht="12.95" customHeight="1" x14ac:dyDescent="0.25">
      <c r="A91" s="757">
        <v>19</v>
      </c>
      <c r="B91" s="746">
        <v>5453</v>
      </c>
      <c r="C91" s="747">
        <v>600099211</v>
      </c>
      <c r="D91" s="746">
        <v>854760</v>
      </c>
      <c r="E91" s="439" t="s">
        <v>428</v>
      </c>
      <c r="F91" s="746">
        <v>3113</v>
      </c>
      <c r="G91" s="754" t="s">
        <v>799</v>
      </c>
      <c r="H91" s="209" t="s">
        <v>262</v>
      </c>
      <c r="I91" s="586">
        <f t="shared" si="186"/>
        <v>343381</v>
      </c>
      <c r="J91" s="678">
        <v>254734</v>
      </c>
      <c r="K91" s="55">
        <f t="shared" si="187"/>
        <v>86100</v>
      </c>
      <c r="L91" s="55">
        <f t="shared" si="188"/>
        <v>2547</v>
      </c>
      <c r="M91" s="325">
        <v>0</v>
      </c>
      <c r="N91" s="752">
        <v>0.40910000000000002</v>
      </c>
      <c r="O91" s="440">
        <f>V91*-1</f>
        <v>0</v>
      </c>
      <c r="P91" s="578">
        <v>0</v>
      </c>
      <c r="Q91" s="325">
        <v>0</v>
      </c>
      <c r="R91" s="325">
        <v>0</v>
      </c>
      <c r="S91" s="325">
        <v>0</v>
      </c>
      <c r="T91" s="325">
        <v>0</v>
      </c>
      <c r="U91" s="492">
        <f t="shared" si="190"/>
        <v>0</v>
      </c>
      <c r="V91" s="325">
        <v>0</v>
      </c>
      <c r="W91" s="325">
        <v>0</v>
      </c>
      <c r="X91" s="325">
        <v>0</v>
      </c>
      <c r="Y91" s="492">
        <f>V91+W91+X91</f>
        <v>0</v>
      </c>
      <c r="Z91" s="492">
        <f>U91+Y91</f>
        <v>0</v>
      </c>
      <c r="AA91" s="494">
        <f>ROUND((U91+Y91)*33.8%,0)</f>
        <v>0</v>
      </c>
      <c r="AB91" s="494">
        <f>ROUND(U91*1%,0)</f>
        <v>0</v>
      </c>
      <c r="AC91" s="492">
        <v>0</v>
      </c>
      <c r="AD91" s="789">
        <f>Z91+AA91+AB91+AC91</f>
        <v>0</v>
      </c>
      <c r="AE91" s="715">
        <v>0</v>
      </c>
      <c r="AF91" s="582">
        <v>0</v>
      </c>
      <c r="AG91" s="326">
        <v>0</v>
      </c>
      <c r="AH91" s="326">
        <v>0</v>
      </c>
      <c r="AI91" s="326">
        <v>0</v>
      </c>
      <c r="AJ91" s="326">
        <v>0</v>
      </c>
      <c r="AK91" s="626">
        <f t="shared" si="196"/>
        <v>0</v>
      </c>
      <c r="AL91" s="696">
        <f t="shared" si="197"/>
        <v>343381</v>
      </c>
      <c r="AM91" s="492">
        <f t="shared" si="198"/>
        <v>254734</v>
      </c>
      <c r="AN91" s="492">
        <f t="shared" si="199"/>
        <v>0</v>
      </c>
      <c r="AO91" s="492">
        <f t="shared" si="200"/>
        <v>86100</v>
      </c>
      <c r="AP91" s="492">
        <f t="shared" si="200"/>
        <v>2547</v>
      </c>
      <c r="AQ91" s="492">
        <f t="shared" si="200"/>
        <v>0</v>
      </c>
      <c r="AR91" s="626">
        <f t="shared" si="201"/>
        <v>0.40910000000000002</v>
      </c>
      <c r="AS91" s="240"/>
    </row>
    <row r="92" spans="1:45" ht="12.95" customHeight="1" x14ac:dyDescent="0.25">
      <c r="A92" s="205">
        <v>19</v>
      </c>
      <c r="B92" s="246">
        <v>5453</v>
      </c>
      <c r="C92" s="247">
        <v>600099211</v>
      </c>
      <c r="D92" s="206">
        <v>854760</v>
      </c>
      <c r="E92" s="273" t="s">
        <v>428</v>
      </c>
      <c r="F92" s="246">
        <v>3113</v>
      </c>
      <c r="G92" s="209" t="s">
        <v>278</v>
      </c>
      <c r="H92" s="209" t="s">
        <v>263</v>
      </c>
      <c r="I92" s="586">
        <f t="shared" si="186"/>
        <v>0</v>
      </c>
      <c r="J92" s="678"/>
      <c r="K92" s="55">
        <f t="shared" si="187"/>
        <v>0</v>
      </c>
      <c r="L92" s="55">
        <f t="shared" si="188"/>
        <v>0</v>
      </c>
      <c r="M92" s="325">
        <v>0</v>
      </c>
      <c r="N92" s="752"/>
      <c r="O92" s="440">
        <f t="shared" si="189"/>
        <v>0</v>
      </c>
      <c r="P92" s="578">
        <f>1235038-286502</f>
        <v>948536</v>
      </c>
      <c r="Q92" s="325">
        <v>0</v>
      </c>
      <c r="R92" s="325">
        <v>0</v>
      </c>
      <c r="S92" s="325">
        <v>0</v>
      </c>
      <c r="T92" s="325">
        <v>0</v>
      </c>
      <c r="U92" s="492">
        <f t="shared" si="190"/>
        <v>948536</v>
      </c>
      <c r="V92" s="325">
        <v>0</v>
      </c>
      <c r="W92" s="325">
        <v>0</v>
      </c>
      <c r="X92" s="325">
        <v>0</v>
      </c>
      <c r="Y92" s="492">
        <f t="shared" si="191"/>
        <v>0</v>
      </c>
      <c r="Z92" s="492">
        <f t="shared" si="192"/>
        <v>948536</v>
      </c>
      <c r="AA92" s="494">
        <f t="shared" si="193"/>
        <v>320605</v>
      </c>
      <c r="AB92" s="494">
        <f t="shared" si="194"/>
        <v>9485</v>
      </c>
      <c r="AC92" s="492">
        <v>0</v>
      </c>
      <c r="AD92" s="789">
        <f t="shared" si="195"/>
        <v>1278626</v>
      </c>
      <c r="AE92" s="715">
        <v>0</v>
      </c>
      <c r="AF92" s="582">
        <f>2.63-0.5</f>
        <v>2.13</v>
      </c>
      <c r="AG92" s="326">
        <v>0</v>
      </c>
      <c r="AH92" s="326">
        <v>0</v>
      </c>
      <c r="AI92" s="326">
        <v>0</v>
      </c>
      <c r="AJ92" s="326">
        <v>0</v>
      </c>
      <c r="AK92" s="626">
        <f t="shared" si="196"/>
        <v>2.13</v>
      </c>
      <c r="AL92" s="696">
        <f t="shared" si="197"/>
        <v>1278626</v>
      </c>
      <c r="AM92" s="492">
        <f t="shared" si="198"/>
        <v>948536</v>
      </c>
      <c r="AN92" s="492">
        <f t="shared" si="199"/>
        <v>0</v>
      </c>
      <c r="AO92" s="492">
        <f t="shared" si="200"/>
        <v>320605</v>
      </c>
      <c r="AP92" s="492">
        <f t="shared" si="200"/>
        <v>9485</v>
      </c>
      <c r="AQ92" s="492">
        <f t="shared" si="200"/>
        <v>0</v>
      </c>
      <c r="AR92" s="626">
        <f t="shared" si="201"/>
        <v>2.13</v>
      </c>
      <c r="AS92" s="240"/>
    </row>
    <row r="93" spans="1:45" ht="12.95" customHeight="1" x14ac:dyDescent="0.25">
      <c r="A93" s="205">
        <v>19</v>
      </c>
      <c r="B93" s="246">
        <v>5453</v>
      </c>
      <c r="C93" s="247">
        <v>600099211</v>
      </c>
      <c r="D93" s="206">
        <v>854760</v>
      </c>
      <c r="E93" s="273" t="s">
        <v>428</v>
      </c>
      <c r="F93" s="246">
        <v>3143</v>
      </c>
      <c r="G93" s="209" t="s">
        <v>794</v>
      </c>
      <c r="H93" s="209" t="s">
        <v>262</v>
      </c>
      <c r="I93" s="586">
        <f t="shared" si="186"/>
        <v>1915987</v>
      </c>
      <c r="J93" s="678">
        <v>1421355</v>
      </c>
      <c r="K93" s="55">
        <f t="shared" si="187"/>
        <v>480418</v>
      </c>
      <c r="L93" s="55">
        <f t="shared" si="188"/>
        <v>14214</v>
      </c>
      <c r="M93" s="325">
        <v>0</v>
      </c>
      <c r="N93" s="752">
        <v>2.7160000000000002</v>
      </c>
      <c r="O93" s="440">
        <f t="shared" si="189"/>
        <v>0</v>
      </c>
      <c r="P93" s="578">
        <v>0</v>
      </c>
      <c r="Q93" s="325">
        <v>0</v>
      </c>
      <c r="R93" s="325">
        <v>0</v>
      </c>
      <c r="S93" s="325">
        <v>0</v>
      </c>
      <c r="T93" s="325">
        <v>0</v>
      </c>
      <c r="U93" s="492">
        <f t="shared" si="190"/>
        <v>0</v>
      </c>
      <c r="V93" s="325">
        <v>0</v>
      </c>
      <c r="W93" s="325">
        <v>0</v>
      </c>
      <c r="X93" s="325">
        <v>0</v>
      </c>
      <c r="Y93" s="492">
        <f t="shared" si="191"/>
        <v>0</v>
      </c>
      <c r="Z93" s="492">
        <f t="shared" si="192"/>
        <v>0</v>
      </c>
      <c r="AA93" s="494">
        <f t="shared" si="193"/>
        <v>0</v>
      </c>
      <c r="AB93" s="494">
        <f t="shared" si="194"/>
        <v>0</v>
      </c>
      <c r="AC93" s="492">
        <v>0</v>
      </c>
      <c r="AD93" s="789">
        <f t="shared" si="195"/>
        <v>0</v>
      </c>
      <c r="AE93" s="715">
        <v>0</v>
      </c>
      <c r="AF93" s="582">
        <v>0</v>
      </c>
      <c r="AG93" s="326">
        <v>0</v>
      </c>
      <c r="AH93" s="326">
        <v>0</v>
      </c>
      <c r="AI93" s="326">
        <v>0</v>
      </c>
      <c r="AJ93" s="326">
        <v>0</v>
      </c>
      <c r="AK93" s="626">
        <f t="shared" si="196"/>
        <v>0</v>
      </c>
      <c r="AL93" s="696">
        <f t="shared" si="197"/>
        <v>1915987</v>
      </c>
      <c r="AM93" s="492">
        <f t="shared" si="198"/>
        <v>1421355</v>
      </c>
      <c r="AN93" s="492">
        <f t="shared" si="199"/>
        <v>0</v>
      </c>
      <c r="AO93" s="492">
        <f t="shared" si="200"/>
        <v>480418</v>
      </c>
      <c r="AP93" s="492">
        <f t="shared" si="200"/>
        <v>14214</v>
      </c>
      <c r="AQ93" s="492">
        <f t="shared" si="200"/>
        <v>0</v>
      </c>
      <c r="AR93" s="626">
        <f t="shared" si="201"/>
        <v>2.7160000000000002</v>
      </c>
      <c r="AS93" s="240"/>
    </row>
    <row r="94" spans="1:45" ht="12.95" customHeight="1" x14ac:dyDescent="0.25">
      <c r="A94" s="205">
        <v>19</v>
      </c>
      <c r="B94" s="246">
        <v>5453</v>
      </c>
      <c r="C94" s="247">
        <v>600099211</v>
      </c>
      <c r="D94" s="206">
        <v>854760</v>
      </c>
      <c r="E94" s="273" t="s">
        <v>428</v>
      </c>
      <c r="F94" s="246">
        <v>3143</v>
      </c>
      <c r="G94" s="270" t="s">
        <v>429</v>
      </c>
      <c r="H94" s="209" t="s">
        <v>263</v>
      </c>
      <c r="I94" s="586">
        <f t="shared" si="186"/>
        <v>323417</v>
      </c>
      <c r="J94" s="678">
        <v>239924</v>
      </c>
      <c r="K94" s="55">
        <f t="shared" si="187"/>
        <v>81094</v>
      </c>
      <c r="L94" s="55">
        <f t="shared" si="188"/>
        <v>2399</v>
      </c>
      <c r="M94" s="325">
        <v>0</v>
      </c>
      <c r="N94" s="752">
        <v>0.45</v>
      </c>
      <c r="O94" s="440">
        <f t="shared" si="189"/>
        <v>0</v>
      </c>
      <c r="P94" s="578">
        <v>0</v>
      </c>
      <c r="Q94" s="325">
        <v>0</v>
      </c>
      <c r="R94" s="325">
        <v>0</v>
      </c>
      <c r="S94" s="325">
        <v>0</v>
      </c>
      <c r="T94" s="325">
        <v>0</v>
      </c>
      <c r="U94" s="492">
        <f t="shared" si="190"/>
        <v>0</v>
      </c>
      <c r="V94" s="325">
        <v>0</v>
      </c>
      <c r="W94" s="325">
        <v>0</v>
      </c>
      <c r="X94" s="325">
        <v>0</v>
      </c>
      <c r="Y94" s="492">
        <f t="shared" si="191"/>
        <v>0</v>
      </c>
      <c r="Z94" s="492">
        <f t="shared" si="192"/>
        <v>0</v>
      </c>
      <c r="AA94" s="494">
        <f t="shared" si="193"/>
        <v>0</v>
      </c>
      <c r="AB94" s="494">
        <f t="shared" si="194"/>
        <v>0</v>
      </c>
      <c r="AC94" s="492">
        <v>0</v>
      </c>
      <c r="AD94" s="789">
        <f t="shared" si="195"/>
        <v>0</v>
      </c>
      <c r="AE94" s="715">
        <v>0</v>
      </c>
      <c r="AF94" s="582">
        <v>0</v>
      </c>
      <c r="AG94" s="326">
        <v>0</v>
      </c>
      <c r="AH94" s="326">
        <v>0</v>
      </c>
      <c r="AI94" s="326">
        <v>0</v>
      </c>
      <c r="AJ94" s="326">
        <v>0</v>
      </c>
      <c r="AK94" s="626">
        <f t="shared" si="196"/>
        <v>0</v>
      </c>
      <c r="AL94" s="696">
        <f t="shared" si="197"/>
        <v>323417</v>
      </c>
      <c r="AM94" s="492">
        <f t="shared" si="198"/>
        <v>239924</v>
      </c>
      <c r="AN94" s="492">
        <f t="shared" si="199"/>
        <v>0</v>
      </c>
      <c r="AO94" s="492">
        <f t="shared" si="200"/>
        <v>81094</v>
      </c>
      <c r="AP94" s="492">
        <f t="shared" si="200"/>
        <v>2399</v>
      </c>
      <c r="AQ94" s="492">
        <f t="shared" si="200"/>
        <v>0</v>
      </c>
      <c r="AR94" s="626">
        <f t="shared" si="201"/>
        <v>0.45</v>
      </c>
      <c r="AS94" s="240"/>
    </row>
    <row r="95" spans="1:45" ht="12.95" customHeight="1" x14ac:dyDescent="0.25">
      <c r="A95" s="198">
        <v>19</v>
      </c>
      <c r="B95" s="250">
        <v>5453</v>
      </c>
      <c r="C95" s="251">
        <v>600099211</v>
      </c>
      <c r="D95" s="250">
        <v>854760</v>
      </c>
      <c r="E95" s="274" t="s">
        <v>430</v>
      </c>
      <c r="F95" s="250"/>
      <c r="G95" s="275"/>
      <c r="H95" s="568"/>
      <c r="I95" s="664">
        <f>SUM(I89:I94)</f>
        <v>27975879</v>
      </c>
      <c r="J95" s="664">
        <f t="shared" ref="J95:AR95" si="202">SUM(J89:J94)</f>
        <v>20753620</v>
      </c>
      <c r="K95" s="664">
        <f t="shared" si="202"/>
        <v>7014723</v>
      </c>
      <c r="L95" s="664">
        <f t="shared" si="202"/>
        <v>207536</v>
      </c>
      <c r="M95" s="355">
        <f t="shared" ref="M95" si="203">SUM(M89:M94)</f>
        <v>0</v>
      </c>
      <c r="N95" s="755">
        <f t="shared" si="202"/>
        <v>31.2743</v>
      </c>
      <c r="O95" s="442">
        <f t="shared" si="202"/>
        <v>-15000</v>
      </c>
      <c r="P95" s="442">
        <f t="shared" si="202"/>
        <v>948536</v>
      </c>
      <c r="Q95" s="355">
        <f t="shared" si="202"/>
        <v>0</v>
      </c>
      <c r="R95" s="355">
        <f t="shared" si="202"/>
        <v>0</v>
      </c>
      <c r="S95" s="355">
        <f t="shared" si="202"/>
        <v>0</v>
      </c>
      <c r="T95" s="355">
        <f t="shared" si="202"/>
        <v>0</v>
      </c>
      <c r="U95" s="355">
        <f t="shared" si="202"/>
        <v>933536</v>
      </c>
      <c r="V95" s="355">
        <f t="shared" si="202"/>
        <v>15000</v>
      </c>
      <c r="W95" s="355">
        <f t="shared" si="202"/>
        <v>0</v>
      </c>
      <c r="X95" s="355">
        <f t="shared" si="202"/>
        <v>0</v>
      </c>
      <c r="Y95" s="355">
        <f t="shared" si="202"/>
        <v>15000</v>
      </c>
      <c r="Z95" s="355">
        <f t="shared" si="202"/>
        <v>948536</v>
      </c>
      <c r="AA95" s="355">
        <f t="shared" si="202"/>
        <v>320605</v>
      </c>
      <c r="AB95" s="355">
        <f t="shared" si="202"/>
        <v>9335</v>
      </c>
      <c r="AC95" s="355">
        <f t="shared" si="202"/>
        <v>0</v>
      </c>
      <c r="AD95" s="683">
        <f t="shared" si="202"/>
        <v>1278476</v>
      </c>
      <c r="AE95" s="839">
        <f t="shared" si="202"/>
        <v>-0.02</v>
      </c>
      <c r="AF95" s="356">
        <f t="shared" si="202"/>
        <v>2.13</v>
      </c>
      <c r="AG95" s="356">
        <f t="shared" si="202"/>
        <v>0</v>
      </c>
      <c r="AH95" s="356">
        <f t="shared" si="202"/>
        <v>0</v>
      </c>
      <c r="AI95" s="356">
        <f t="shared" si="202"/>
        <v>0</v>
      </c>
      <c r="AJ95" s="356">
        <f t="shared" si="202"/>
        <v>0</v>
      </c>
      <c r="AK95" s="253">
        <f t="shared" si="202"/>
        <v>2.11</v>
      </c>
      <c r="AL95" s="686">
        <f t="shared" si="202"/>
        <v>29254355</v>
      </c>
      <c r="AM95" s="442">
        <f t="shared" si="202"/>
        <v>21687156</v>
      </c>
      <c r="AN95" s="355">
        <f t="shared" si="202"/>
        <v>15000</v>
      </c>
      <c r="AO95" s="355">
        <f t="shared" si="202"/>
        <v>7335328</v>
      </c>
      <c r="AP95" s="355">
        <f t="shared" si="202"/>
        <v>216871</v>
      </c>
      <c r="AQ95" s="355">
        <f t="shared" si="202"/>
        <v>0</v>
      </c>
      <c r="AR95" s="253">
        <f t="shared" si="202"/>
        <v>33.384300000000003</v>
      </c>
      <c r="AS95" s="240"/>
    </row>
    <row r="96" spans="1:45" ht="12.95" customHeight="1" x14ac:dyDescent="0.25">
      <c r="A96" s="205">
        <v>20</v>
      </c>
      <c r="B96" s="206">
        <v>5429</v>
      </c>
      <c r="C96" s="255">
        <v>600098656</v>
      </c>
      <c r="D96" s="206">
        <v>70698309</v>
      </c>
      <c r="E96" s="208" t="s">
        <v>431</v>
      </c>
      <c r="F96" s="206">
        <v>3111</v>
      </c>
      <c r="G96" s="270" t="s">
        <v>290</v>
      </c>
      <c r="H96" s="209" t="s">
        <v>262</v>
      </c>
      <c r="I96" s="586">
        <f t="shared" ref="I96:I97" si="204">SUM(J96:M96)</f>
        <v>2989415</v>
      </c>
      <c r="J96" s="678">
        <v>2217667</v>
      </c>
      <c r="K96" s="55">
        <f t="shared" ref="K96:K97" si="205">ROUND(J96*33.8%,0)</f>
        <v>749571</v>
      </c>
      <c r="L96" s="55">
        <f t="shared" ref="L96:L97" si="206">ROUND(J96*1%,0)</f>
        <v>22177</v>
      </c>
      <c r="M96" s="325">
        <v>0</v>
      </c>
      <c r="N96" s="752">
        <v>4</v>
      </c>
      <c r="O96" s="445">
        <f>V96*-1</f>
        <v>0</v>
      </c>
      <c r="P96" s="578">
        <v>0</v>
      </c>
      <c r="Q96" s="325">
        <v>0</v>
      </c>
      <c r="R96" s="325">
        <v>0</v>
      </c>
      <c r="S96" s="325">
        <v>0</v>
      </c>
      <c r="T96" s="325">
        <v>0</v>
      </c>
      <c r="U96" s="492">
        <f>O96+P96+Q96+R96+S96+T96</f>
        <v>0</v>
      </c>
      <c r="V96" s="325">
        <v>0</v>
      </c>
      <c r="W96" s="325">
        <v>0</v>
      </c>
      <c r="X96" s="325">
        <v>0</v>
      </c>
      <c r="Y96" s="492">
        <f t="shared" ref="Y96:Y97" si="207">V96+W96+X96</f>
        <v>0</v>
      </c>
      <c r="Z96" s="492">
        <f t="shared" ref="Z96:Z97" si="208">U96+Y96</f>
        <v>0</v>
      </c>
      <c r="AA96" s="494">
        <f t="shared" ref="AA96:AA97" si="209">ROUND((U96+Y96)*33.8%,0)</f>
        <v>0</v>
      </c>
      <c r="AB96" s="494">
        <f t="shared" ref="AB96:AB97" si="210">ROUND(U96*1%,0)</f>
        <v>0</v>
      </c>
      <c r="AC96" s="492">
        <v>0</v>
      </c>
      <c r="AD96" s="789">
        <f t="shared" ref="AD96:AD97" si="211">Z96+AA96+AB96+AC96</f>
        <v>0</v>
      </c>
      <c r="AE96" s="715">
        <v>0</v>
      </c>
      <c r="AF96" s="582">
        <v>0</v>
      </c>
      <c r="AG96" s="326">
        <v>0</v>
      </c>
      <c r="AH96" s="326">
        <v>0</v>
      </c>
      <c r="AI96" s="326">
        <v>0</v>
      </c>
      <c r="AJ96" s="326">
        <v>0</v>
      </c>
      <c r="AK96" s="626">
        <f>SUM(AE96:AJ96)</f>
        <v>0</v>
      </c>
      <c r="AL96" s="696">
        <f>I96+AD96</f>
        <v>2989415</v>
      </c>
      <c r="AM96" s="492">
        <f>J96+U96</f>
        <v>2217667</v>
      </c>
      <c r="AN96" s="492">
        <f>Y96</f>
        <v>0</v>
      </c>
      <c r="AO96" s="492">
        <f t="shared" ref="AO96:AQ97" si="212">K96+AA96</f>
        <v>749571</v>
      </c>
      <c r="AP96" s="492">
        <f t="shared" si="212"/>
        <v>22177</v>
      </c>
      <c r="AQ96" s="492">
        <f t="shared" si="212"/>
        <v>0</v>
      </c>
      <c r="AR96" s="626">
        <f>N96+AK96</f>
        <v>4</v>
      </c>
      <c r="AS96" s="240"/>
    </row>
    <row r="97" spans="1:45" ht="12.95" customHeight="1" x14ac:dyDescent="0.25">
      <c r="A97" s="205">
        <v>20</v>
      </c>
      <c r="B97" s="246">
        <v>5429</v>
      </c>
      <c r="C97" s="247">
        <v>600098656</v>
      </c>
      <c r="D97" s="206">
        <v>70698309</v>
      </c>
      <c r="E97" s="273" t="s">
        <v>431</v>
      </c>
      <c r="F97" s="206">
        <v>3111</v>
      </c>
      <c r="G97" s="209" t="s">
        <v>278</v>
      </c>
      <c r="H97" s="209" t="s">
        <v>263</v>
      </c>
      <c r="I97" s="586">
        <f t="shared" si="204"/>
        <v>0</v>
      </c>
      <c r="J97" s="678"/>
      <c r="K97" s="55">
        <f t="shared" si="205"/>
        <v>0</v>
      </c>
      <c r="L97" s="55">
        <f t="shared" si="206"/>
        <v>0</v>
      </c>
      <c r="M97" s="325">
        <v>0</v>
      </c>
      <c r="N97" s="752"/>
      <c r="O97" s="440">
        <f>V97*-1</f>
        <v>0</v>
      </c>
      <c r="P97" s="578">
        <v>0</v>
      </c>
      <c r="Q97" s="325">
        <v>0</v>
      </c>
      <c r="R97" s="325">
        <v>0</v>
      </c>
      <c r="S97" s="325">
        <v>0</v>
      </c>
      <c r="T97" s="325">
        <v>0</v>
      </c>
      <c r="U97" s="492">
        <f>O97+P97+Q97+R97+S97+T97</f>
        <v>0</v>
      </c>
      <c r="V97" s="325">
        <v>0</v>
      </c>
      <c r="W97" s="325">
        <v>0</v>
      </c>
      <c r="X97" s="325">
        <v>0</v>
      </c>
      <c r="Y97" s="492">
        <f t="shared" si="207"/>
        <v>0</v>
      </c>
      <c r="Z97" s="492">
        <f t="shared" si="208"/>
        <v>0</v>
      </c>
      <c r="AA97" s="494">
        <f t="shared" si="209"/>
        <v>0</v>
      </c>
      <c r="AB97" s="494">
        <f t="shared" si="210"/>
        <v>0</v>
      </c>
      <c r="AC97" s="492">
        <v>0</v>
      </c>
      <c r="AD97" s="789">
        <f t="shared" si="211"/>
        <v>0</v>
      </c>
      <c r="AE97" s="715">
        <v>0</v>
      </c>
      <c r="AF97" s="582">
        <v>0</v>
      </c>
      <c r="AG97" s="326">
        <v>0</v>
      </c>
      <c r="AH97" s="326">
        <v>0</v>
      </c>
      <c r="AI97" s="326">
        <v>0</v>
      </c>
      <c r="AJ97" s="326">
        <v>0</v>
      </c>
      <c r="AK97" s="626">
        <f>SUM(AE97:AJ97)</f>
        <v>0</v>
      </c>
      <c r="AL97" s="696">
        <f>I97+AD97</f>
        <v>0</v>
      </c>
      <c r="AM97" s="492">
        <f>J97+U97</f>
        <v>0</v>
      </c>
      <c r="AN97" s="492">
        <f>Y97</f>
        <v>0</v>
      </c>
      <c r="AO97" s="492">
        <f t="shared" si="212"/>
        <v>0</v>
      </c>
      <c r="AP97" s="492">
        <f t="shared" si="212"/>
        <v>0</v>
      </c>
      <c r="AQ97" s="492">
        <f t="shared" si="212"/>
        <v>0</v>
      </c>
      <c r="AR97" s="626">
        <f>N97+AK97</f>
        <v>0</v>
      </c>
      <c r="AS97" s="240"/>
    </row>
    <row r="98" spans="1:45" ht="12.95" customHeight="1" x14ac:dyDescent="0.25">
      <c r="A98" s="198">
        <v>20</v>
      </c>
      <c r="B98" s="250">
        <v>5429</v>
      </c>
      <c r="C98" s="251">
        <v>600098656</v>
      </c>
      <c r="D98" s="250">
        <v>70698309</v>
      </c>
      <c r="E98" s="274" t="s">
        <v>432</v>
      </c>
      <c r="F98" s="250"/>
      <c r="G98" s="275"/>
      <c r="H98" s="568"/>
      <c r="I98" s="664">
        <f t="shared" ref="I98:AR98" si="213">SUM(I96:I97)</f>
        <v>2989415</v>
      </c>
      <c r="J98" s="679">
        <f t="shared" si="213"/>
        <v>2217667</v>
      </c>
      <c r="K98" s="355">
        <f t="shared" si="213"/>
        <v>749571</v>
      </c>
      <c r="L98" s="355">
        <f t="shared" si="213"/>
        <v>22177</v>
      </c>
      <c r="M98" s="355">
        <f t="shared" ref="M98" si="214">SUM(M96:M97)</f>
        <v>0</v>
      </c>
      <c r="N98" s="753">
        <f t="shared" si="213"/>
        <v>4</v>
      </c>
      <c r="O98" s="442">
        <f t="shared" si="213"/>
        <v>0</v>
      </c>
      <c r="P98" s="442">
        <f t="shared" si="213"/>
        <v>0</v>
      </c>
      <c r="Q98" s="355">
        <f t="shared" si="213"/>
        <v>0</v>
      </c>
      <c r="R98" s="355">
        <f t="shared" si="213"/>
        <v>0</v>
      </c>
      <c r="S98" s="355">
        <f t="shared" si="213"/>
        <v>0</v>
      </c>
      <c r="T98" s="355">
        <f t="shared" si="213"/>
        <v>0</v>
      </c>
      <c r="U98" s="355">
        <f t="shared" si="213"/>
        <v>0</v>
      </c>
      <c r="V98" s="355">
        <f t="shared" si="213"/>
        <v>0</v>
      </c>
      <c r="W98" s="355">
        <f t="shared" si="213"/>
        <v>0</v>
      </c>
      <c r="X98" s="355">
        <f t="shared" si="213"/>
        <v>0</v>
      </c>
      <c r="Y98" s="355">
        <f t="shared" si="213"/>
        <v>0</v>
      </c>
      <c r="Z98" s="355">
        <f t="shared" si="213"/>
        <v>0</v>
      </c>
      <c r="AA98" s="355">
        <f t="shared" si="213"/>
        <v>0</v>
      </c>
      <c r="AB98" s="355">
        <f t="shared" si="213"/>
        <v>0</v>
      </c>
      <c r="AC98" s="355">
        <f t="shared" si="213"/>
        <v>0</v>
      </c>
      <c r="AD98" s="683">
        <f t="shared" si="213"/>
        <v>0</v>
      </c>
      <c r="AE98" s="839">
        <f t="shared" si="213"/>
        <v>0</v>
      </c>
      <c r="AF98" s="356">
        <f t="shared" si="213"/>
        <v>0</v>
      </c>
      <c r="AG98" s="356">
        <f t="shared" si="213"/>
        <v>0</v>
      </c>
      <c r="AH98" s="356">
        <f t="shared" si="213"/>
        <v>0</v>
      </c>
      <c r="AI98" s="356">
        <f t="shared" si="213"/>
        <v>0</v>
      </c>
      <c r="AJ98" s="356">
        <f t="shared" si="213"/>
        <v>0</v>
      </c>
      <c r="AK98" s="253">
        <f t="shared" si="213"/>
        <v>0</v>
      </c>
      <c r="AL98" s="686">
        <f t="shared" si="213"/>
        <v>2989415</v>
      </c>
      <c r="AM98" s="442">
        <f t="shared" si="213"/>
        <v>2217667</v>
      </c>
      <c r="AN98" s="355">
        <f t="shared" si="213"/>
        <v>0</v>
      </c>
      <c r="AO98" s="355">
        <f t="shared" si="213"/>
        <v>749571</v>
      </c>
      <c r="AP98" s="355">
        <f t="shared" si="213"/>
        <v>22177</v>
      </c>
      <c r="AQ98" s="355">
        <f t="shared" si="213"/>
        <v>0</v>
      </c>
      <c r="AR98" s="253">
        <f t="shared" si="213"/>
        <v>4</v>
      </c>
      <c r="AS98" s="240"/>
    </row>
    <row r="99" spans="1:45" ht="12.95" customHeight="1" x14ac:dyDescent="0.25">
      <c r="A99" s="205">
        <v>21</v>
      </c>
      <c r="B99" s="246">
        <v>5468</v>
      </c>
      <c r="C99" s="247">
        <v>600099083</v>
      </c>
      <c r="D99" s="206">
        <v>70698317</v>
      </c>
      <c r="E99" s="273" t="s">
        <v>433</v>
      </c>
      <c r="F99" s="246">
        <v>3117</v>
      </c>
      <c r="G99" s="270" t="s">
        <v>294</v>
      </c>
      <c r="H99" s="209" t="s">
        <v>262</v>
      </c>
      <c r="I99" s="586">
        <f t="shared" ref="I99:I101" si="215">SUM(J99:M99)</f>
        <v>2738758</v>
      </c>
      <c r="J99" s="678">
        <v>2031720</v>
      </c>
      <c r="K99" s="55">
        <f t="shared" ref="K99:K101" si="216">ROUND(J99*33.8%,0)</f>
        <v>686721</v>
      </c>
      <c r="L99" s="55">
        <f t="shared" ref="L99:L101" si="217">ROUND(J99*1%,0)</f>
        <v>20317</v>
      </c>
      <c r="M99" s="325">
        <v>0</v>
      </c>
      <c r="N99" s="752">
        <v>2.9544999999999999</v>
      </c>
      <c r="O99" s="445">
        <f>V99*-1</f>
        <v>0</v>
      </c>
      <c r="P99" s="578">
        <v>0</v>
      </c>
      <c r="Q99" s="325">
        <v>0</v>
      </c>
      <c r="R99" s="325">
        <v>0</v>
      </c>
      <c r="S99" s="325">
        <v>0</v>
      </c>
      <c r="T99" s="325">
        <v>0</v>
      </c>
      <c r="U99" s="492">
        <f>O99+P99+Q99+R99+S99+T99</f>
        <v>0</v>
      </c>
      <c r="V99" s="325">
        <v>0</v>
      </c>
      <c r="W99" s="325">
        <v>0</v>
      </c>
      <c r="X99" s="325">
        <v>0</v>
      </c>
      <c r="Y99" s="492">
        <f t="shared" ref="Y99:Y101" si="218">V99+W99+X99</f>
        <v>0</v>
      </c>
      <c r="Z99" s="492">
        <f t="shared" ref="Z99:Z101" si="219">U99+Y99</f>
        <v>0</v>
      </c>
      <c r="AA99" s="494">
        <f t="shared" ref="AA99:AA101" si="220">ROUND((U99+Y99)*33.8%,0)</f>
        <v>0</v>
      </c>
      <c r="AB99" s="494">
        <f t="shared" ref="AB99:AB101" si="221">ROUND(U99*1%,0)</f>
        <v>0</v>
      </c>
      <c r="AC99" s="492">
        <v>0</v>
      </c>
      <c r="AD99" s="789">
        <f t="shared" ref="AD99:AD101" si="222">Z99+AA99+AB99+AC99</f>
        <v>0</v>
      </c>
      <c r="AE99" s="715">
        <v>0</v>
      </c>
      <c r="AF99" s="582">
        <v>0</v>
      </c>
      <c r="AG99" s="326">
        <v>0</v>
      </c>
      <c r="AH99" s="326">
        <v>0</v>
      </c>
      <c r="AI99" s="326">
        <v>0</v>
      </c>
      <c r="AJ99" s="326">
        <v>0</v>
      </c>
      <c r="AK99" s="626">
        <f>SUM(AE99:AJ99)</f>
        <v>0</v>
      </c>
      <c r="AL99" s="696">
        <f>I99+AD99</f>
        <v>2738758</v>
      </c>
      <c r="AM99" s="492">
        <f>J99+U99</f>
        <v>2031720</v>
      </c>
      <c r="AN99" s="492">
        <f>Y99</f>
        <v>0</v>
      </c>
      <c r="AO99" s="492">
        <f t="shared" ref="AO99:AQ101" si="223">K99+AA99</f>
        <v>686721</v>
      </c>
      <c r="AP99" s="492">
        <f t="shared" si="223"/>
        <v>20317</v>
      </c>
      <c r="AQ99" s="492">
        <f t="shared" si="223"/>
        <v>0</v>
      </c>
      <c r="AR99" s="626">
        <f>N99+AK99</f>
        <v>2.9544999999999999</v>
      </c>
      <c r="AS99" s="240"/>
    </row>
    <row r="100" spans="1:45" ht="12.95" customHeight="1" x14ac:dyDescent="0.25">
      <c r="A100" s="205">
        <v>21</v>
      </c>
      <c r="B100" s="246">
        <v>5468</v>
      </c>
      <c r="C100" s="247">
        <v>600099083</v>
      </c>
      <c r="D100" s="206">
        <v>70698317</v>
      </c>
      <c r="E100" s="273" t="s">
        <v>433</v>
      </c>
      <c r="F100" s="246">
        <v>3117</v>
      </c>
      <c r="G100" s="209" t="s">
        <v>278</v>
      </c>
      <c r="H100" s="209" t="s">
        <v>263</v>
      </c>
      <c r="I100" s="586">
        <f t="shared" si="215"/>
        <v>0</v>
      </c>
      <c r="J100" s="678"/>
      <c r="K100" s="55">
        <f t="shared" si="216"/>
        <v>0</v>
      </c>
      <c r="L100" s="55">
        <f t="shared" si="217"/>
        <v>0</v>
      </c>
      <c r="M100" s="325">
        <v>0</v>
      </c>
      <c r="N100" s="752"/>
      <c r="O100" s="440">
        <f>V100*-1</f>
        <v>0</v>
      </c>
      <c r="P100" s="578">
        <v>26490</v>
      </c>
      <c r="Q100" s="325">
        <v>0</v>
      </c>
      <c r="R100" s="325">
        <v>0</v>
      </c>
      <c r="S100" s="325">
        <v>0</v>
      </c>
      <c r="T100" s="325">
        <v>0</v>
      </c>
      <c r="U100" s="492">
        <f>O100+P100+Q100+R100+S100+T100</f>
        <v>26490</v>
      </c>
      <c r="V100" s="325">
        <v>0</v>
      </c>
      <c r="W100" s="325">
        <v>0</v>
      </c>
      <c r="X100" s="325">
        <v>0</v>
      </c>
      <c r="Y100" s="492">
        <f t="shared" si="218"/>
        <v>0</v>
      </c>
      <c r="Z100" s="492">
        <f t="shared" si="219"/>
        <v>26490</v>
      </c>
      <c r="AA100" s="494">
        <f t="shared" si="220"/>
        <v>8954</v>
      </c>
      <c r="AB100" s="494">
        <f t="shared" si="221"/>
        <v>265</v>
      </c>
      <c r="AC100" s="492">
        <v>0</v>
      </c>
      <c r="AD100" s="789">
        <f t="shared" si="222"/>
        <v>35709</v>
      </c>
      <c r="AE100" s="715">
        <v>0</v>
      </c>
      <c r="AF100" s="582">
        <v>0.05</v>
      </c>
      <c r="AG100" s="326">
        <v>0</v>
      </c>
      <c r="AH100" s="326">
        <v>0</v>
      </c>
      <c r="AI100" s="326">
        <v>0</v>
      </c>
      <c r="AJ100" s="326">
        <v>0</v>
      </c>
      <c r="AK100" s="626">
        <f>SUM(AE100:AJ100)</f>
        <v>0.05</v>
      </c>
      <c r="AL100" s="696">
        <f>I100+AD100</f>
        <v>35709</v>
      </c>
      <c r="AM100" s="492">
        <f>J100+U100</f>
        <v>26490</v>
      </c>
      <c r="AN100" s="492">
        <f>Y100</f>
        <v>0</v>
      </c>
      <c r="AO100" s="492">
        <f t="shared" si="223"/>
        <v>8954</v>
      </c>
      <c r="AP100" s="492">
        <f t="shared" si="223"/>
        <v>265</v>
      </c>
      <c r="AQ100" s="492">
        <f t="shared" si="223"/>
        <v>0</v>
      </c>
      <c r="AR100" s="626">
        <f>N100+AK100</f>
        <v>0.05</v>
      </c>
      <c r="AS100" s="240"/>
    </row>
    <row r="101" spans="1:45" ht="12.95" customHeight="1" x14ac:dyDescent="0.25">
      <c r="A101" s="205">
        <v>21</v>
      </c>
      <c r="B101" s="246">
        <v>5468</v>
      </c>
      <c r="C101" s="247">
        <v>600099083</v>
      </c>
      <c r="D101" s="206">
        <v>70698317</v>
      </c>
      <c r="E101" s="273" t="s">
        <v>433</v>
      </c>
      <c r="F101" s="246">
        <v>3143</v>
      </c>
      <c r="G101" s="209" t="s">
        <v>795</v>
      </c>
      <c r="H101" s="209" t="s">
        <v>262</v>
      </c>
      <c r="I101" s="586">
        <f t="shared" si="215"/>
        <v>762385</v>
      </c>
      <c r="J101" s="678">
        <v>565567</v>
      </c>
      <c r="K101" s="55">
        <f t="shared" si="216"/>
        <v>191162</v>
      </c>
      <c r="L101" s="55">
        <f t="shared" si="217"/>
        <v>5656</v>
      </c>
      <c r="M101" s="325">
        <v>0</v>
      </c>
      <c r="N101" s="752">
        <v>1</v>
      </c>
      <c r="O101" s="440">
        <f>V101*-1</f>
        <v>0</v>
      </c>
      <c r="P101" s="578">
        <v>0</v>
      </c>
      <c r="Q101" s="325">
        <v>0</v>
      </c>
      <c r="R101" s="325">
        <v>0</v>
      </c>
      <c r="S101" s="325">
        <v>0</v>
      </c>
      <c r="T101" s="325">
        <v>0</v>
      </c>
      <c r="U101" s="492">
        <f>O101+P101+Q101+R101+S101+T101</f>
        <v>0</v>
      </c>
      <c r="V101" s="325">
        <v>0</v>
      </c>
      <c r="W101" s="325">
        <v>0</v>
      </c>
      <c r="X101" s="325">
        <v>0</v>
      </c>
      <c r="Y101" s="492">
        <f t="shared" si="218"/>
        <v>0</v>
      </c>
      <c r="Z101" s="492">
        <f t="shared" si="219"/>
        <v>0</v>
      </c>
      <c r="AA101" s="494">
        <f t="shared" si="220"/>
        <v>0</v>
      </c>
      <c r="AB101" s="494">
        <f t="shared" si="221"/>
        <v>0</v>
      </c>
      <c r="AC101" s="492">
        <v>0</v>
      </c>
      <c r="AD101" s="789">
        <f t="shared" si="222"/>
        <v>0</v>
      </c>
      <c r="AE101" s="715">
        <v>0</v>
      </c>
      <c r="AF101" s="582">
        <v>0</v>
      </c>
      <c r="AG101" s="326">
        <v>0</v>
      </c>
      <c r="AH101" s="326">
        <v>0</v>
      </c>
      <c r="AI101" s="326">
        <v>0</v>
      </c>
      <c r="AJ101" s="326">
        <v>0</v>
      </c>
      <c r="AK101" s="626">
        <f>SUM(AE101:AJ101)</f>
        <v>0</v>
      </c>
      <c r="AL101" s="696">
        <f>I101+AD101</f>
        <v>762385</v>
      </c>
      <c r="AM101" s="492">
        <f>J101+U101</f>
        <v>565567</v>
      </c>
      <c r="AN101" s="492">
        <f>Y101</f>
        <v>0</v>
      </c>
      <c r="AO101" s="492">
        <f t="shared" si="223"/>
        <v>191162</v>
      </c>
      <c r="AP101" s="492">
        <f t="shared" si="223"/>
        <v>5656</v>
      </c>
      <c r="AQ101" s="492">
        <f t="shared" si="223"/>
        <v>0</v>
      </c>
      <c r="AR101" s="626">
        <f>N101+AK101</f>
        <v>1</v>
      </c>
      <c r="AS101" s="240"/>
    </row>
    <row r="102" spans="1:45" ht="12.95" customHeight="1" x14ac:dyDescent="0.25">
      <c r="A102" s="198">
        <v>21</v>
      </c>
      <c r="B102" s="250">
        <v>5468</v>
      </c>
      <c r="C102" s="251">
        <v>600099083</v>
      </c>
      <c r="D102" s="250">
        <v>70698317</v>
      </c>
      <c r="E102" s="274" t="s">
        <v>434</v>
      </c>
      <c r="F102" s="250"/>
      <c r="G102" s="275"/>
      <c r="H102" s="568"/>
      <c r="I102" s="664">
        <f t="shared" ref="I102:AR102" si="224">SUM(I99:I101)</f>
        <v>3501143</v>
      </c>
      <c r="J102" s="679">
        <f t="shared" si="224"/>
        <v>2597287</v>
      </c>
      <c r="K102" s="355">
        <f t="shared" si="224"/>
        <v>877883</v>
      </c>
      <c r="L102" s="355">
        <f t="shared" si="224"/>
        <v>25973</v>
      </c>
      <c r="M102" s="355">
        <f t="shared" ref="M102" si="225">SUM(M99:M101)</f>
        <v>0</v>
      </c>
      <c r="N102" s="753">
        <f t="shared" si="224"/>
        <v>3.9544999999999999</v>
      </c>
      <c r="O102" s="442">
        <f t="shared" si="224"/>
        <v>0</v>
      </c>
      <c r="P102" s="442">
        <f t="shared" si="224"/>
        <v>26490</v>
      </c>
      <c r="Q102" s="355">
        <f t="shared" si="224"/>
        <v>0</v>
      </c>
      <c r="R102" s="355">
        <f t="shared" si="224"/>
        <v>0</v>
      </c>
      <c r="S102" s="355">
        <f t="shared" si="224"/>
        <v>0</v>
      </c>
      <c r="T102" s="355">
        <f t="shared" si="224"/>
        <v>0</v>
      </c>
      <c r="U102" s="355">
        <f t="shared" si="224"/>
        <v>26490</v>
      </c>
      <c r="V102" s="355">
        <f t="shared" si="224"/>
        <v>0</v>
      </c>
      <c r="W102" s="355">
        <f t="shared" si="224"/>
        <v>0</v>
      </c>
      <c r="X102" s="355">
        <f t="shared" si="224"/>
        <v>0</v>
      </c>
      <c r="Y102" s="355">
        <f t="shared" si="224"/>
        <v>0</v>
      </c>
      <c r="Z102" s="355">
        <f t="shared" si="224"/>
        <v>26490</v>
      </c>
      <c r="AA102" s="355">
        <f t="shared" si="224"/>
        <v>8954</v>
      </c>
      <c r="AB102" s="355">
        <f t="shared" si="224"/>
        <v>265</v>
      </c>
      <c r="AC102" s="355">
        <f t="shared" si="224"/>
        <v>0</v>
      </c>
      <c r="AD102" s="683">
        <f t="shared" si="224"/>
        <v>35709</v>
      </c>
      <c r="AE102" s="839">
        <f t="shared" si="224"/>
        <v>0</v>
      </c>
      <c r="AF102" s="356">
        <f t="shared" si="224"/>
        <v>0.05</v>
      </c>
      <c r="AG102" s="356">
        <f t="shared" si="224"/>
        <v>0</v>
      </c>
      <c r="AH102" s="356">
        <f t="shared" si="224"/>
        <v>0</v>
      </c>
      <c r="AI102" s="356">
        <f t="shared" si="224"/>
        <v>0</v>
      </c>
      <c r="AJ102" s="356">
        <f t="shared" si="224"/>
        <v>0</v>
      </c>
      <c r="AK102" s="253">
        <f t="shared" si="224"/>
        <v>0.05</v>
      </c>
      <c r="AL102" s="686">
        <f t="shared" si="224"/>
        <v>3536852</v>
      </c>
      <c r="AM102" s="442">
        <f t="shared" si="224"/>
        <v>2623777</v>
      </c>
      <c r="AN102" s="355">
        <f t="shared" si="224"/>
        <v>0</v>
      </c>
      <c r="AO102" s="355">
        <f t="shared" si="224"/>
        <v>886837</v>
      </c>
      <c r="AP102" s="355">
        <f t="shared" si="224"/>
        <v>26238</v>
      </c>
      <c r="AQ102" s="355">
        <f t="shared" si="224"/>
        <v>0</v>
      </c>
      <c r="AR102" s="253">
        <f t="shared" si="224"/>
        <v>4.0045000000000002</v>
      </c>
      <c r="AS102" s="240"/>
    </row>
    <row r="103" spans="1:45" ht="12.95" customHeight="1" x14ac:dyDescent="0.25">
      <c r="A103" s="205">
        <v>22</v>
      </c>
      <c r="B103" s="246">
        <v>5488</v>
      </c>
      <c r="C103" s="247">
        <v>600099326</v>
      </c>
      <c r="D103" s="206">
        <v>70695393</v>
      </c>
      <c r="E103" s="273" t="s">
        <v>435</v>
      </c>
      <c r="F103" s="246">
        <v>3111</v>
      </c>
      <c r="G103" s="270" t="s">
        <v>290</v>
      </c>
      <c r="H103" s="209" t="s">
        <v>262</v>
      </c>
      <c r="I103" s="586">
        <f t="shared" ref="I103:I106" si="226">SUM(J103:M103)</f>
        <v>738046</v>
      </c>
      <c r="J103" s="678">
        <v>547512</v>
      </c>
      <c r="K103" s="55">
        <f t="shared" ref="K103:K106" si="227">ROUND(J103*33.8%,0)</f>
        <v>185059</v>
      </c>
      <c r="L103" s="55">
        <f t="shared" ref="L103:L106" si="228">ROUND(J103*1%,0)</f>
        <v>5475</v>
      </c>
      <c r="M103" s="325">
        <v>0</v>
      </c>
      <c r="N103" s="752">
        <v>1</v>
      </c>
      <c r="O103" s="445">
        <f t="shared" ref="O103:O106" si="229">V103*-1</f>
        <v>0</v>
      </c>
      <c r="P103" s="578">
        <v>0</v>
      </c>
      <c r="Q103" s="325">
        <v>0</v>
      </c>
      <c r="R103" s="325">
        <v>0</v>
      </c>
      <c r="S103" s="325">
        <v>0</v>
      </c>
      <c r="T103" s="325">
        <v>0</v>
      </c>
      <c r="U103" s="492">
        <f>O103+P103+Q103+R103+S103+T103</f>
        <v>0</v>
      </c>
      <c r="V103" s="325">
        <v>0</v>
      </c>
      <c r="W103" s="325">
        <v>0</v>
      </c>
      <c r="X103" s="325">
        <v>0</v>
      </c>
      <c r="Y103" s="492">
        <f t="shared" ref="Y103:Y106" si="230">V103+W103+X103</f>
        <v>0</v>
      </c>
      <c r="Z103" s="492">
        <f t="shared" ref="Z103:Z106" si="231">U103+Y103</f>
        <v>0</v>
      </c>
      <c r="AA103" s="494">
        <f t="shared" ref="AA103:AA106" si="232">ROUND((U103+Y103)*33.8%,0)</f>
        <v>0</v>
      </c>
      <c r="AB103" s="494">
        <f t="shared" ref="AB103:AB106" si="233">ROUND(U103*1%,0)</f>
        <v>0</v>
      </c>
      <c r="AC103" s="492">
        <v>0</v>
      </c>
      <c r="AD103" s="789">
        <f t="shared" ref="AD103:AD106" si="234">Z103+AA103+AB103+AC103</f>
        <v>0</v>
      </c>
      <c r="AE103" s="715">
        <v>0</v>
      </c>
      <c r="AF103" s="582">
        <v>0</v>
      </c>
      <c r="AG103" s="326">
        <v>0</v>
      </c>
      <c r="AH103" s="326">
        <v>0</v>
      </c>
      <c r="AI103" s="326">
        <v>0</v>
      </c>
      <c r="AJ103" s="326">
        <v>0</v>
      </c>
      <c r="AK103" s="626">
        <f>SUM(AE103:AJ103)</f>
        <v>0</v>
      </c>
      <c r="AL103" s="696">
        <f>I103+AD103</f>
        <v>738046</v>
      </c>
      <c r="AM103" s="492">
        <f>J103+U103</f>
        <v>547512</v>
      </c>
      <c r="AN103" s="492">
        <f>Y103</f>
        <v>0</v>
      </c>
      <c r="AO103" s="492">
        <f t="shared" ref="AO103:AQ106" si="235">K103+AA103</f>
        <v>185059</v>
      </c>
      <c r="AP103" s="492">
        <f t="shared" si="235"/>
        <v>5475</v>
      </c>
      <c r="AQ103" s="492">
        <f t="shared" si="235"/>
        <v>0</v>
      </c>
      <c r="AR103" s="626">
        <f>N103+AK103</f>
        <v>1</v>
      </c>
      <c r="AS103" s="240"/>
    </row>
    <row r="104" spans="1:45" ht="12.95" customHeight="1" x14ac:dyDescent="0.25">
      <c r="A104" s="205">
        <v>22</v>
      </c>
      <c r="B104" s="246">
        <v>5488</v>
      </c>
      <c r="C104" s="247">
        <v>600099326</v>
      </c>
      <c r="D104" s="206">
        <v>70695393</v>
      </c>
      <c r="E104" s="273" t="s">
        <v>435</v>
      </c>
      <c r="F104" s="246">
        <v>3117</v>
      </c>
      <c r="G104" s="270" t="s">
        <v>294</v>
      </c>
      <c r="H104" s="209" t="s">
        <v>262</v>
      </c>
      <c r="I104" s="586">
        <f t="shared" si="226"/>
        <v>1150780</v>
      </c>
      <c r="J104" s="678">
        <v>853694</v>
      </c>
      <c r="K104" s="55">
        <f t="shared" si="227"/>
        <v>288549</v>
      </c>
      <c r="L104" s="55">
        <f t="shared" si="228"/>
        <v>8537</v>
      </c>
      <c r="M104" s="325">
        <v>0</v>
      </c>
      <c r="N104" s="752">
        <v>1.4631000000000001</v>
      </c>
      <c r="O104" s="440">
        <f t="shared" si="229"/>
        <v>0</v>
      </c>
      <c r="P104" s="578">
        <v>0</v>
      </c>
      <c r="Q104" s="325">
        <v>0</v>
      </c>
      <c r="R104" s="325">
        <v>0</v>
      </c>
      <c r="S104" s="325">
        <v>0</v>
      </c>
      <c r="T104" s="325">
        <v>0</v>
      </c>
      <c r="U104" s="492">
        <f>O104+P104+Q104+R104+S104+T104</f>
        <v>0</v>
      </c>
      <c r="V104" s="325">
        <v>0</v>
      </c>
      <c r="W104" s="325">
        <v>0</v>
      </c>
      <c r="X104" s="325">
        <v>0</v>
      </c>
      <c r="Y104" s="492">
        <f t="shared" si="230"/>
        <v>0</v>
      </c>
      <c r="Z104" s="492">
        <f t="shared" si="231"/>
        <v>0</v>
      </c>
      <c r="AA104" s="494">
        <f t="shared" si="232"/>
        <v>0</v>
      </c>
      <c r="AB104" s="494">
        <f t="shared" si="233"/>
        <v>0</v>
      </c>
      <c r="AC104" s="492">
        <v>0</v>
      </c>
      <c r="AD104" s="789">
        <f t="shared" si="234"/>
        <v>0</v>
      </c>
      <c r="AE104" s="715">
        <v>0</v>
      </c>
      <c r="AF104" s="582">
        <v>0</v>
      </c>
      <c r="AG104" s="326">
        <v>0</v>
      </c>
      <c r="AH104" s="326">
        <v>0</v>
      </c>
      <c r="AI104" s="326">
        <v>0</v>
      </c>
      <c r="AJ104" s="326">
        <v>0</v>
      </c>
      <c r="AK104" s="626">
        <f>SUM(AE104:AJ104)</f>
        <v>0</v>
      </c>
      <c r="AL104" s="696">
        <f>I104+AD104</f>
        <v>1150780</v>
      </c>
      <c r="AM104" s="492">
        <f>J104+U104</f>
        <v>853694</v>
      </c>
      <c r="AN104" s="492">
        <f>Y104</f>
        <v>0</v>
      </c>
      <c r="AO104" s="492">
        <f t="shared" si="235"/>
        <v>288549</v>
      </c>
      <c r="AP104" s="492">
        <f t="shared" si="235"/>
        <v>8537</v>
      </c>
      <c r="AQ104" s="492">
        <f t="shared" si="235"/>
        <v>0</v>
      </c>
      <c r="AR104" s="626">
        <f>N104+AK104</f>
        <v>1.4631000000000001</v>
      </c>
      <c r="AS104" s="240"/>
    </row>
    <row r="105" spans="1:45" ht="12.95" customHeight="1" x14ac:dyDescent="0.25">
      <c r="A105" s="205">
        <v>22</v>
      </c>
      <c r="B105" s="246">
        <v>5488</v>
      </c>
      <c r="C105" s="247">
        <v>600099326</v>
      </c>
      <c r="D105" s="206">
        <v>70695393</v>
      </c>
      <c r="E105" s="273" t="s">
        <v>435</v>
      </c>
      <c r="F105" s="246">
        <v>3117</v>
      </c>
      <c r="G105" s="209" t="s">
        <v>278</v>
      </c>
      <c r="H105" s="209" t="s">
        <v>263</v>
      </c>
      <c r="I105" s="586">
        <f t="shared" si="226"/>
        <v>0</v>
      </c>
      <c r="J105" s="678"/>
      <c r="K105" s="55">
        <f t="shared" si="227"/>
        <v>0</v>
      </c>
      <c r="L105" s="55">
        <f t="shared" si="228"/>
        <v>0</v>
      </c>
      <c r="M105" s="325">
        <v>0</v>
      </c>
      <c r="N105" s="752"/>
      <c r="O105" s="440">
        <f t="shared" si="229"/>
        <v>0</v>
      </c>
      <c r="P105" s="578">
        <v>0</v>
      </c>
      <c r="Q105" s="325">
        <v>0</v>
      </c>
      <c r="R105" s="325">
        <v>0</v>
      </c>
      <c r="S105" s="325">
        <v>0</v>
      </c>
      <c r="T105" s="325">
        <v>0</v>
      </c>
      <c r="U105" s="492">
        <f>O105+P105+Q105+R105+S105+T105</f>
        <v>0</v>
      </c>
      <c r="V105" s="325">
        <v>0</v>
      </c>
      <c r="W105" s="325">
        <v>0</v>
      </c>
      <c r="X105" s="325">
        <v>0</v>
      </c>
      <c r="Y105" s="492">
        <f t="shared" si="230"/>
        <v>0</v>
      </c>
      <c r="Z105" s="492">
        <f t="shared" si="231"/>
        <v>0</v>
      </c>
      <c r="AA105" s="494">
        <f t="shared" si="232"/>
        <v>0</v>
      </c>
      <c r="AB105" s="494">
        <f t="shared" si="233"/>
        <v>0</v>
      </c>
      <c r="AC105" s="492">
        <v>0</v>
      </c>
      <c r="AD105" s="789">
        <f t="shared" si="234"/>
        <v>0</v>
      </c>
      <c r="AE105" s="715">
        <v>0</v>
      </c>
      <c r="AF105" s="582">
        <v>0</v>
      </c>
      <c r="AG105" s="326">
        <v>0</v>
      </c>
      <c r="AH105" s="326">
        <v>0</v>
      </c>
      <c r="AI105" s="326">
        <v>0</v>
      </c>
      <c r="AJ105" s="326">
        <v>0</v>
      </c>
      <c r="AK105" s="626">
        <f>SUM(AE105:AJ105)</f>
        <v>0</v>
      </c>
      <c r="AL105" s="696">
        <f>I105+AD105</f>
        <v>0</v>
      </c>
      <c r="AM105" s="492">
        <f>J105+U105</f>
        <v>0</v>
      </c>
      <c r="AN105" s="492">
        <f>Y105</f>
        <v>0</v>
      </c>
      <c r="AO105" s="492">
        <f t="shared" si="235"/>
        <v>0</v>
      </c>
      <c r="AP105" s="492">
        <f t="shared" si="235"/>
        <v>0</v>
      </c>
      <c r="AQ105" s="492">
        <f t="shared" si="235"/>
        <v>0</v>
      </c>
      <c r="AR105" s="626">
        <f>N105+AK105</f>
        <v>0</v>
      </c>
      <c r="AS105" s="240"/>
    </row>
    <row r="106" spans="1:45" ht="12.95" customHeight="1" x14ac:dyDescent="0.25">
      <c r="A106" s="205">
        <v>22</v>
      </c>
      <c r="B106" s="246">
        <v>5488</v>
      </c>
      <c r="C106" s="247">
        <v>600099326</v>
      </c>
      <c r="D106" s="206">
        <v>70695393</v>
      </c>
      <c r="E106" s="273" t="s">
        <v>435</v>
      </c>
      <c r="F106" s="246">
        <v>3143</v>
      </c>
      <c r="G106" s="209" t="s">
        <v>794</v>
      </c>
      <c r="H106" s="209" t="s">
        <v>262</v>
      </c>
      <c r="I106" s="586">
        <f t="shared" si="226"/>
        <v>496555</v>
      </c>
      <c r="J106" s="678">
        <v>368364</v>
      </c>
      <c r="K106" s="55">
        <f t="shared" si="227"/>
        <v>124507</v>
      </c>
      <c r="L106" s="55">
        <f t="shared" si="228"/>
        <v>3684</v>
      </c>
      <c r="M106" s="325">
        <v>0</v>
      </c>
      <c r="N106" s="752">
        <v>0.8</v>
      </c>
      <c r="O106" s="440">
        <f t="shared" si="229"/>
        <v>0</v>
      </c>
      <c r="P106" s="578">
        <v>0</v>
      </c>
      <c r="Q106" s="325">
        <v>0</v>
      </c>
      <c r="R106" s="325">
        <v>0</v>
      </c>
      <c r="S106" s="325">
        <v>0</v>
      </c>
      <c r="T106" s="325">
        <v>0</v>
      </c>
      <c r="U106" s="492">
        <f>O106+P106+Q106+R106+S106+T106</f>
        <v>0</v>
      </c>
      <c r="V106" s="325">
        <v>0</v>
      </c>
      <c r="W106" s="325">
        <v>0</v>
      </c>
      <c r="X106" s="325">
        <v>0</v>
      </c>
      <c r="Y106" s="492">
        <f t="shared" si="230"/>
        <v>0</v>
      </c>
      <c r="Z106" s="492">
        <f t="shared" si="231"/>
        <v>0</v>
      </c>
      <c r="AA106" s="494">
        <f t="shared" si="232"/>
        <v>0</v>
      </c>
      <c r="AB106" s="494">
        <f t="shared" si="233"/>
        <v>0</v>
      </c>
      <c r="AC106" s="492">
        <v>0</v>
      </c>
      <c r="AD106" s="789">
        <f t="shared" si="234"/>
        <v>0</v>
      </c>
      <c r="AE106" s="715">
        <v>0</v>
      </c>
      <c r="AF106" s="582">
        <v>0</v>
      </c>
      <c r="AG106" s="326">
        <v>0</v>
      </c>
      <c r="AH106" s="326">
        <v>0</v>
      </c>
      <c r="AI106" s="326">
        <v>0</v>
      </c>
      <c r="AJ106" s="326">
        <v>0</v>
      </c>
      <c r="AK106" s="626">
        <f>SUM(AE106:AJ106)</f>
        <v>0</v>
      </c>
      <c r="AL106" s="696">
        <f>I106+AD106</f>
        <v>496555</v>
      </c>
      <c r="AM106" s="492">
        <f>J106+U106</f>
        <v>368364</v>
      </c>
      <c r="AN106" s="492">
        <f>Y106</f>
        <v>0</v>
      </c>
      <c r="AO106" s="492">
        <f t="shared" si="235"/>
        <v>124507</v>
      </c>
      <c r="AP106" s="492">
        <f t="shared" si="235"/>
        <v>3684</v>
      </c>
      <c r="AQ106" s="492">
        <f t="shared" si="235"/>
        <v>0</v>
      </c>
      <c r="AR106" s="626">
        <f>N106+AK106</f>
        <v>0.8</v>
      </c>
      <c r="AS106" s="240"/>
    </row>
    <row r="107" spans="1:45" ht="12.95" customHeight="1" thickBot="1" x14ac:dyDescent="0.3">
      <c r="A107" s="225">
        <v>22</v>
      </c>
      <c r="B107" s="261">
        <v>5488</v>
      </c>
      <c r="C107" s="262">
        <v>600099326</v>
      </c>
      <c r="D107" s="261">
        <v>70695393</v>
      </c>
      <c r="E107" s="279" t="s">
        <v>436</v>
      </c>
      <c r="F107" s="261"/>
      <c r="G107" s="420"/>
      <c r="H107" s="570"/>
      <c r="I107" s="664">
        <f t="shared" ref="I107:AR107" si="236">SUM(I103:I106)</f>
        <v>2385381</v>
      </c>
      <c r="J107" s="679">
        <f t="shared" si="236"/>
        <v>1769570</v>
      </c>
      <c r="K107" s="681">
        <f t="shared" si="236"/>
        <v>598115</v>
      </c>
      <c r="L107" s="681">
        <f t="shared" si="236"/>
        <v>17696</v>
      </c>
      <c r="M107" s="566">
        <f t="shared" ref="M107" si="237">SUM(M103:M106)</f>
        <v>0</v>
      </c>
      <c r="N107" s="753">
        <f t="shared" si="236"/>
        <v>3.2630999999999997</v>
      </c>
      <c r="O107" s="611">
        <f t="shared" si="236"/>
        <v>0</v>
      </c>
      <c r="P107" s="611">
        <f t="shared" si="236"/>
        <v>0</v>
      </c>
      <c r="Q107" s="566">
        <f t="shared" si="236"/>
        <v>0</v>
      </c>
      <c r="R107" s="566">
        <f t="shared" si="236"/>
        <v>0</v>
      </c>
      <c r="S107" s="566">
        <f t="shared" si="236"/>
        <v>0</v>
      </c>
      <c r="T107" s="566">
        <f t="shared" si="236"/>
        <v>0</v>
      </c>
      <c r="U107" s="566">
        <f t="shared" si="236"/>
        <v>0</v>
      </c>
      <c r="V107" s="566">
        <f t="shared" si="236"/>
        <v>0</v>
      </c>
      <c r="W107" s="566">
        <f t="shared" si="236"/>
        <v>0</v>
      </c>
      <c r="X107" s="566">
        <f t="shared" si="236"/>
        <v>0</v>
      </c>
      <c r="Y107" s="566">
        <f t="shared" si="236"/>
        <v>0</v>
      </c>
      <c r="Z107" s="566">
        <f t="shared" si="236"/>
        <v>0</v>
      </c>
      <c r="AA107" s="566">
        <f t="shared" si="236"/>
        <v>0</v>
      </c>
      <c r="AB107" s="566">
        <f t="shared" si="236"/>
        <v>0</v>
      </c>
      <c r="AC107" s="566">
        <f t="shared" si="236"/>
        <v>0</v>
      </c>
      <c r="AD107" s="679">
        <f t="shared" si="236"/>
        <v>0</v>
      </c>
      <c r="AE107" s="755">
        <f t="shared" si="236"/>
        <v>0</v>
      </c>
      <c r="AF107" s="609">
        <f t="shared" si="236"/>
        <v>0</v>
      </c>
      <c r="AG107" s="609">
        <f t="shared" si="236"/>
        <v>0</v>
      </c>
      <c r="AH107" s="609">
        <f t="shared" si="236"/>
        <v>0</v>
      </c>
      <c r="AI107" s="609">
        <f t="shared" si="236"/>
        <v>0</v>
      </c>
      <c r="AJ107" s="609">
        <f t="shared" si="236"/>
        <v>0</v>
      </c>
      <c r="AK107" s="610">
        <f t="shared" si="236"/>
        <v>0</v>
      </c>
      <c r="AL107" s="664">
        <f t="shared" si="236"/>
        <v>2385381</v>
      </c>
      <c r="AM107" s="611">
        <f t="shared" si="236"/>
        <v>1769570</v>
      </c>
      <c r="AN107" s="566">
        <f t="shared" si="236"/>
        <v>0</v>
      </c>
      <c r="AO107" s="566">
        <f t="shared" si="236"/>
        <v>598115</v>
      </c>
      <c r="AP107" s="566">
        <f t="shared" si="236"/>
        <v>17696</v>
      </c>
      <c r="AQ107" s="566">
        <f t="shared" si="236"/>
        <v>0</v>
      </c>
      <c r="AR107" s="610">
        <f t="shared" si="236"/>
        <v>3.2630999999999997</v>
      </c>
      <c r="AS107" s="240"/>
    </row>
    <row r="108" spans="1:45" ht="12.95" customHeight="1" thickBot="1" x14ac:dyDescent="0.3">
      <c r="A108" s="280"/>
      <c r="B108" s="281"/>
      <c r="C108" s="282"/>
      <c r="D108" s="281"/>
      <c r="E108" s="230" t="s">
        <v>734</v>
      </c>
      <c r="F108" s="281"/>
      <c r="G108" s="419"/>
      <c r="H108" s="663"/>
      <c r="I108" s="363">
        <f t="shared" ref="I108:AR108" si="238">I15+I20+I26+I28+I33+I38+I43+I49+I51+I54+I59+I64+I67+I70+I74+I77+I83+I88+I95+I98+I102+I107</f>
        <v>249823573</v>
      </c>
      <c r="J108" s="364">
        <f t="shared" si="238"/>
        <v>185329059</v>
      </c>
      <c r="K108" s="432">
        <f t="shared" si="238"/>
        <v>62641224</v>
      </c>
      <c r="L108" s="432">
        <f t="shared" si="238"/>
        <v>1853290</v>
      </c>
      <c r="M108" s="364">
        <f t="shared" ref="M108" si="239">M15+M20+M26+M28+M33+M38+M43+M49+M51+M54+M59+M64+M67+M70+M74+M77+M83+M88+M95+M98+M102+M107</f>
        <v>0</v>
      </c>
      <c r="N108" s="758">
        <f t="shared" si="238"/>
        <v>284.36409999999995</v>
      </c>
      <c r="O108" s="409">
        <f t="shared" si="238"/>
        <v>-314100</v>
      </c>
      <c r="P108" s="364">
        <f t="shared" si="238"/>
        <v>15656062</v>
      </c>
      <c r="Q108" s="364">
        <f t="shared" si="238"/>
        <v>59770</v>
      </c>
      <c r="R108" s="437">
        <f t="shared" si="238"/>
        <v>0</v>
      </c>
      <c r="S108" s="364">
        <f t="shared" si="238"/>
        <v>0</v>
      </c>
      <c r="T108" s="364">
        <f t="shared" si="238"/>
        <v>0</v>
      </c>
      <c r="U108" s="364">
        <f t="shared" si="238"/>
        <v>15401732</v>
      </c>
      <c r="V108" s="364">
        <f t="shared" si="238"/>
        <v>314100</v>
      </c>
      <c r="W108" s="364">
        <f t="shared" si="238"/>
        <v>0</v>
      </c>
      <c r="X108" s="364">
        <f t="shared" si="238"/>
        <v>0</v>
      </c>
      <c r="Y108" s="364">
        <f t="shared" si="238"/>
        <v>314100</v>
      </c>
      <c r="Z108" s="364">
        <f t="shared" si="238"/>
        <v>15715832</v>
      </c>
      <c r="AA108" s="364">
        <f t="shared" si="238"/>
        <v>5311951</v>
      </c>
      <c r="AB108" s="364">
        <f t="shared" si="238"/>
        <v>154017</v>
      </c>
      <c r="AC108" s="364">
        <f t="shared" si="238"/>
        <v>0</v>
      </c>
      <c r="AD108" s="837">
        <f t="shared" si="238"/>
        <v>21181800</v>
      </c>
      <c r="AE108" s="841">
        <f t="shared" si="238"/>
        <v>-0.23</v>
      </c>
      <c r="AF108" s="365">
        <f t="shared" si="238"/>
        <v>38.020000000000003</v>
      </c>
      <c r="AG108" s="365">
        <f t="shared" si="238"/>
        <v>0</v>
      </c>
      <c r="AH108" s="365">
        <f t="shared" si="238"/>
        <v>0.09</v>
      </c>
      <c r="AI108" s="365">
        <f t="shared" si="238"/>
        <v>0</v>
      </c>
      <c r="AJ108" s="365">
        <f t="shared" si="238"/>
        <v>0</v>
      </c>
      <c r="AK108" s="608">
        <f t="shared" si="238"/>
        <v>37.879999999999995</v>
      </c>
      <c r="AL108" s="363">
        <f t="shared" si="238"/>
        <v>271005373</v>
      </c>
      <c r="AM108" s="409">
        <f t="shared" si="238"/>
        <v>200730791</v>
      </c>
      <c r="AN108" s="364">
        <f t="shared" si="238"/>
        <v>314100</v>
      </c>
      <c r="AO108" s="364">
        <f t="shared" si="238"/>
        <v>67953175</v>
      </c>
      <c r="AP108" s="364">
        <f t="shared" si="238"/>
        <v>2007307</v>
      </c>
      <c r="AQ108" s="364">
        <f t="shared" si="238"/>
        <v>0</v>
      </c>
      <c r="AR108" s="608">
        <f t="shared" si="238"/>
        <v>322.2441</v>
      </c>
    </row>
    <row r="109" spans="1:45" ht="12.95" customHeight="1" x14ac:dyDescent="0.25">
      <c r="B109" s="234"/>
      <c r="C109" s="283"/>
      <c r="D109" s="234"/>
      <c r="E109" s="235"/>
      <c r="F109" s="234"/>
      <c r="I109" s="328">
        <f>SUM(J108:M108)</f>
        <v>249823573</v>
      </c>
      <c r="J109" s="328"/>
      <c r="K109" s="328"/>
      <c r="L109" s="328"/>
      <c r="M109" s="328"/>
      <c r="N109" s="742"/>
      <c r="O109" s="328">
        <f>V108</f>
        <v>314100</v>
      </c>
      <c r="P109" s="329"/>
      <c r="Q109" s="329"/>
      <c r="R109" s="329"/>
      <c r="S109" s="328"/>
      <c r="T109" s="329"/>
      <c r="U109" s="330">
        <f>SUM(O108:T108)</f>
        <v>15401732</v>
      </c>
      <c r="V109" s="330"/>
      <c r="W109" s="331"/>
      <c r="X109" s="331"/>
      <c r="Y109" s="330">
        <f>SUM(V108:X108)</f>
        <v>314100</v>
      </c>
      <c r="Z109" s="330">
        <f>U108+Y108</f>
        <v>15715832</v>
      </c>
      <c r="AA109" s="332"/>
      <c r="AB109" s="332"/>
      <c r="AC109" s="330"/>
      <c r="AD109" s="330">
        <f>SUM(Z108:AC108)</f>
        <v>21181800</v>
      </c>
      <c r="AE109" s="333"/>
      <c r="AF109" s="333"/>
      <c r="AG109" s="333"/>
      <c r="AH109" s="333"/>
      <c r="AI109" s="381"/>
      <c r="AJ109" s="333"/>
      <c r="AK109" s="381">
        <f>SUM(AE108:AJ108)</f>
        <v>37.88000000000001</v>
      </c>
      <c r="AL109" s="328">
        <f>SUM(AM108:AQ108)</f>
        <v>271005373</v>
      </c>
      <c r="AM109" s="328"/>
      <c r="AN109" s="58"/>
      <c r="AO109" s="330"/>
      <c r="AP109" s="330"/>
      <c r="AQ109" s="330">
        <f>M108+AC108</f>
        <v>0</v>
      </c>
      <c r="AR109" s="329"/>
    </row>
    <row r="110" spans="1:45" ht="12.95" customHeight="1" thickBot="1" x14ac:dyDescent="0.3">
      <c r="B110" s="234"/>
      <c r="C110" s="283"/>
      <c r="D110" s="234"/>
      <c r="F110" s="234"/>
      <c r="I110" s="328">
        <f>SUM(J111:M111)</f>
        <v>249823573</v>
      </c>
      <c r="J110" s="328"/>
      <c r="K110" s="328"/>
      <c r="L110" s="328"/>
      <c r="M110" s="328"/>
      <c r="N110" s="742"/>
      <c r="O110" s="328">
        <f>V111</f>
        <v>314100</v>
      </c>
      <c r="P110" s="329"/>
      <c r="Q110" s="329"/>
      <c r="R110" s="329"/>
      <c r="S110" s="328"/>
      <c r="T110" s="329"/>
      <c r="U110" s="330">
        <f>SUM(O111:T111)</f>
        <v>15401732</v>
      </c>
      <c r="V110" s="330"/>
      <c r="W110" s="331"/>
      <c r="X110" s="331"/>
      <c r="Y110" s="330">
        <f>SUM(V111:X111)</f>
        <v>314100</v>
      </c>
      <c r="Z110" s="330">
        <f>U111+Y111</f>
        <v>15715832</v>
      </c>
      <c r="AA110" s="332"/>
      <c r="AB110" s="332"/>
      <c r="AC110" s="330"/>
      <c r="AD110" s="330">
        <f>SUM(Z111:AC111)</f>
        <v>21181800</v>
      </c>
      <c r="AE110" s="333"/>
      <c r="AF110" s="333"/>
      <c r="AG110" s="333"/>
      <c r="AH110" s="333"/>
      <c r="AI110" s="381"/>
      <c r="AJ110" s="333"/>
      <c r="AK110" s="381">
        <f>SUM(AE111:AJ111)</f>
        <v>37.88000000000001</v>
      </c>
      <c r="AL110" s="328">
        <f>AM111+AN111+AO111+AP111+AQ111</f>
        <v>271005373</v>
      </c>
      <c r="AM110" s="328"/>
      <c r="AN110" s="58"/>
      <c r="AO110" s="48"/>
      <c r="AP110" s="48"/>
      <c r="AQ110" s="48"/>
      <c r="AR110" s="329"/>
    </row>
    <row r="111" spans="1:45" s="60" customFormat="1" ht="12.95" customHeight="1" thickBot="1" x14ac:dyDescent="0.3">
      <c r="D111" s="236"/>
      <c r="E111" s="237"/>
      <c r="F111" s="236"/>
      <c r="G111" s="238"/>
      <c r="H111" s="19" t="s">
        <v>0</v>
      </c>
      <c r="I111" s="363">
        <f t="shared" ref="I111:AR111" si="240">SUM(I112:I121)</f>
        <v>249823573</v>
      </c>
      <c r="J111" s="364">
        <f t="shared" si="240"/>
        <v>185329059</v>
      </c>
      <c r="K111" s="364">
        <f t="shared" si="240"/>
        <v>62641224</v>
      </c>
      <c r="L111" s="364">
        <f t="shared" si="240"/>
        <v>1853290</v>
      </c>
      <c r="M111" s="364">
        <f t="shared" si="240"/>
        <v>0</v>
      </c>
      <c r="N111" s="759">
        <f t="shared" si="240"/>
        <v>284.36410000000001</v>
      </c>
      <c r="O111" s="409">
        <f t="shared" si="240"/>
        <v>-314100</v>
      </c>
      <c r="P111" s="364">
        <f t="shared" si="240"/>
        <v>15656062</v>
      </c>
      <c r="Q111" s="364">
        <f t="shared" si="240"/>
        <v>59770</v>
      </c>
      <c r="R111" s="437">
        <f t="shared" si="240"/>
        <v>0</v>
      </c>
      <c r="S111" s="364">
        <f t="shared" si="240"/>
        <v>0</v>
      </c>
      <c r="T111" s="364">
        <f t="shared" si="240"/>
        <v>0</v>
      </c>
      <c r="U111" s="364">
        <f t="shared" si="240"/>
        <v>15401732</v>
      </c>
      <c r="V111" s="364">
        <f t="shared" si="240"/>
        <v>314100</v>
      </c>
      <c r="W111" s="364">
        <f t="shared" si="240"/>
        <v>0</v>
      </c>
      <c r="X111" s="364">
        <f t="shared" si="240"/>
        <v>0</v>
      </c>
      <c r="Y111" s="364">
        <f t="shared" si="240"/>
        <v>314100</v>
      </c>
      <c r="Z111" s="364">
        <f t="shared" si="240"/>
        <v>15715832</v>
      </c>
      <c r="AA111" s="364">
        <f t="shared" si="240"/>
        <v>5311951</v>
      </c>
      <c r="AB111" s="364">
        <f t="shared" si="240"/>
        <v>154017</v>
      </c>
      <c r="AC111" s="364">
        <f t="shared" si="240"/>
        <v>0</v>
      </c>
      <c r="AD111" s="837">
        <f t="shared" si="240"/>
        <v>21181800</v>
      </c>
      <c r="AE111" s="841">
        <f t="shared" si="240"/>
        <v>-0.23</v>
      </c>
      <c r="AF111" s="365">
        <f t="shared" si="240"/>
        <v>38.020000000000003</v>
      </c>
      <c r="AG111" s="365">
        <f t="shared" si="240"/>
        <v>0</v>
      </c>
      <c r="AH111" s="365">
        <f t="shared" si="240"/>
        <v>0.09</v>
      </c>
      <c r="AI111" s="365">
        <f t="shared" si="240"/>
        <v>0</v>
      </c>
      <c r="AJ111" s="365">
        <f t="shared" si="240"/>
        <v>0</v>
      </c>
      <c r="AK111" s="608">
        <f t="shared" si="240"/>
        <v>37.880000000000003</v>
      </c>
      <c r="AL111" s="363">
        <f t="shared" si="240"/>
        <v>271005373</v>
      </c>
      <c r="AM111" s="364">
        <f t="shared" si="240"/>
        <v>200730791</v>
      </c>
      <c r="AN111" s="364">
        <f t="shared" si="240"/>
        <v>314100</v>
      </c>
      <c r="AO111" s="364">
        <f t="shared" si="240"/>
        <v>67953175</v>
      </c>
      <c r="AP111" s="364">
        <f t="shared" si="240"/>
        <v>2007307</v>
      </c>
      <c r="AQ111" s="364">
        <f t="shared" si="240"/>
        <v>0</v>
      </c>
      <c r="AR111" s="608">
        <f t="shared" si="240"/>
        <v>322.2441</v>
      </c>
    </row>
    <row r="112" spans="1:45" s="60" customFormat="1" ht="12.95" customHeight="1" x14ac:dyDescent="0.25">
      <c r="D112" s="236"/>
      <c r="E112" s="237"/>
      <c r="F112" s="236"/>
      <c r="G112" s="238"/>
      <c r="H112" s="1">
        <v>3111</v>
      </c>
      <c r="I112" s="370">
        <f t="shared" ref="I112:AR112" si="241">SUMIF($F$12:$F$403,"=3111",I$12:I$403)</f>
        <v>60682602</v>
      </c>
      <c r="J112" s="371">
        <f t="shared" si="241"/>
        <v>45016768</v>
      </c>
      <c r="K112" s="371">
        <f t="shared" si="241"/>
        <v>15215668</v>
      </c>
      <c r="L112" s="371">
        <f t="shared" si="241"/>
        <v>450166</v>
      </c>
      <c r="M112" s="371">
        <f t="shared" si="241"/>
        <v>0</v>
      </c>
      <c r="N112" s="743">
        <f t="shared" si="241"/>
        <v>77.052799999999991</v>
      </c>
      <c r="O112" s="372">
        <f t="shared" si="241"/>
        <v>-35700</v>
      </c>
      <c r="P112" s="371">
        <f t="shared" si="241"/>
        <v>405738</v>
      </c>
      <c r="Q112" s="371">
        <f t="shared" si="241"/>
        <v>0</v>
      </c>
      <c r="R112" s="371">
        <f t="shared" si="241"/>
        <v>0</v>
      </c>
      <c r="S112" s="371">
        <f t="shared" si="241"/>
        <v>0</v>
      </c>
      <c r="T112" s="371">
        <f t="shared" si="241"/>
        <v>0</v>
      </c>
      <c r="U112" s="371">
        <f t="shared" si="241"/>
        <v>370038</v>
      </c>
      <c r="V112" s="371">
        <f t="shared" si="241"/>
        <v>35700</v>
      </c>
      <c r="W112" s="371">
        <f t="shared" si="241"/>
        <v>0</v>
      </c>
      <c r="X112" s="371">
        <f t="shared" si="241"/>
        <v>0</v>
      </c>
      <c r="Y112" s="371">
        <f t="shared" si="241"/>
        <v>35700</v>
      </c>
      <c r="Z112" s="371">
        <f t="shared" si="241"/>
        <v>405738</v>
      </c>
      <c r="AA112" s="371">
        <f t="shared" si="241"/>
        <v>137140</v>
      </c>
      <c r="AB112" s="371">
        <f t="shared" si="241"/>
        <v>3700</v>
      </c>
      <c r="AC112" s="371">
        <f t="shared" si="241"/>
        <v>0</v>
      </c>
      <c r="AD112" s="643">
        <f t="shared" si="241"/>
        <v>546578</v>
      </c>
      <c r="AE112" s="648">
        <f t="shared" si="241"/>
        <v>-0.03</v>
      </c>
      <c r="AF112" s="373">
        <f t="shared" si="241"/>
        <v>0.99</v>
      </c>
      <c r="AG112" s="373">
        <f t="shared" si="241"/>
        <v>0</v>
      </c>
      <c r="AH112" s="373">
        <f t="shared" si="241"/>
        <v>0</v>
      </c>
      <c r="AI112" s="373">
        <f t="shared" si="241"/>
        <v>0</v>
      </c>
      <c r="AJ112" s="373">
        <f t="shared" si="241"/>
        <v>0</v>
      </c>
      <c r="AK112" s="649">
        <f t="shared" si="241"/>
        <v>0.96</v>
      </c>
      <c r="AL112" s="370">
        <f t="shared" si="241"/>
        <v>61229180</v>
      </c>
      <c r="AM112" s="371">
        <f t="shared" si="241"/>
        <v>45386806</v>
      </c>
      <c r="AN112" s="371">
        <f t="shared" si="241"/>
        <v>35700</v>
      </c>
      <c r="AO112" s="371">
        <f t="shared" si="241"/>
        <v>15352808</v>
      </c>
      <c r="AP112" s="371">
        <f t="shared" si="241"/>
        <v>453866</v>
      </c>
      <c r="AQ112" s="371">
        <f t="shared" si="241"/>
        <v>0</v>
      </c>
      <c r="AR112" s="649">
        <f t="shared" si="241"/>
        <v>78.012799999999999</v>
      </c>
    </row>
    <row r="113" spans="4:44" s="60" customFormat="1" ht="12.95" customHeight="1" x14ac:dyDescent="0.25">
      <c r="D113" s="236"/>
      <c r="E113" s="237"/>
      <c r="F113" s="236"/>
      <c r="G113" s="238"/>
      <c r="H113" s="2">
        <v>3113</v>
      </c>
      <c r="I113" s="119">
        <f t="shared" ref="I113:AR113" si="242">SUMIF($F$12:$F$403,"=3113",I$12:I$403)</f>
        <v>133409445</v>
      </c>
      <c r="J113" s="14">
        <f t="shared" si="242"/>
        <v>98968430</v>
      </c>
      <c r="K113" s="14">
        <f t="shared" si="242"/>
        <v>33451329</v>
      </c>
      <c r="L113" s="14">
        <f t="shared" si="242"/>
        <v>989686</v>
      </c>
      <c r="M113" s="14">
        <f t="shared" si="242"/>
        <v>0</v>
      </c>
      <c r="N113" s="744">
        <f t="shared" si="242"/>
        <v>139.87729999999996</v>
      </c>
      <c r="O113" s="120">
        <f t="shared" si="242"/>
        <v>-242400</v>
      </c>
      <c r="P113" s="14">
        <f t="shared" si="242"/>
        <v>13422145</v>
      </c>
      <c r="Q113" s="14">
        <f t="shared" si="242"/>
        <v>59770</v>
      </c>
      <c r="R113" s="14">
        <f t="shared" si="242"/>
        <v>0</v>
      </c>
      <c r="S113" s="14">
        <f t="shared" si="242"/>
        <v>0</v>
      </c>
      <c r="T113" s="14">
        <f t="shared" si="242"/>
        <v>0</v>
      </c>
      <c r="U113" s="14">
        <f t="shared" si="242"/>
        <v>13239515</v>
      </c>
      <c r="V113" s="14">
        <f t="shared" si="242"/>
        <v>242400</v>
      </c>
      <c r="W113" s="14">
        <f t="shared" si="242"/>
        <v>0</v>
      </c>
      <c r="X113" s="14">
        <f t="shared" si="242"/>
        <v>0</v>
      </c>
      <c r="Y113" s="14">
        <f t="shared" si="242"/>
        <v>242400</v>
      </c>
      <c r="Z113" s="14">
        <f t="shared" si="242"/>
        <v>13481915</v>
      </c>
      <c r="AA113" s="14">
        <f t="shared" si="242"/>
        <v>4556886</v>
      </c>
      <c r="AB113" s="14">
        <f t="shared" si="242"/>
        <v>132396</v>
      </c>
      <c r="AC113" s="14">
        <f t="shared" si="242"/>
        <v>0</v>
      </c>
      <c r="AD113" s="644">
        <f t="shared" si="242"/>
        <v>18171197</v>
      </c>
      <c r="AE113" s="650">
        <f t="shared" si="242"/>
        <v>-0.18</v>
      </c>
      <c r="AF113" s="11">
        <f t="shared" si="242"/>
        <v>32.340000000000003</v>
      </c>
      <c r="AG113" s="11">
        <f t="shared" si="242"/>
        <v>0</v>
      </c>
      <c r="AH113" s="11">
        <f t="shared" si="242"/>
        <v>0.09</v>
      </c>
      <c r="AI113" s="11">
        <f t="shared" si="242"/>
        <v>0</v>
      </c>
      <c r="AJ113" s="11">
        <f t="shared" si="242"/>
        <v>0</v>
      </c>
      <c r="AK113" s="651">
        <f t="shared" si="242"/>
        <v>32.25</v>
      </c>
      <c r="AL113" s="119">
        <f t="shared" si="242"/>
        <v>151580642</v>
      </c>
      <c r="AM113" s="14">
        <f t="shared" si="242"/>
        <v>112207945</v>
      </c>
      <c r="AN113" s="14">
        <f t="shared" si="242"/>
        <v>242400</v>
      </c>
      <c r="AO113" s="14">
        <f t="shared" si="242"/>
        <v>38008215</v>
      </c>
      <c r="AP113" s="14">
        <f t="shared" si="242"/>
        <v>1122082</v>
      </c>
      <c r="AQ113" s="14">
        <f t="shared" si="242"/>
        <v>0</v>
      </c>
      <c r="AR113" s="651">
        <f t="shared" si="242"/>
        <v>172.12729999999996</v>
      </c>
    </row>
    <row r="114" spans="4:44" s="60" customFormat="1" ht="12.95" customHeight="1" x14ac:dyDescent="0.25">
      <c r="D114" s="236"/>
      <c r="E114" s="237"/>
      <c r="F114" s="236"/>
      <c r="G114" s="238"/>
      <c r="H114" s="2">
        <v>3114</v>
      </c>
      <c r="I114" s="119">
        <f t="shared" ref="I114:AR114" si="243">SUMIF($F$12:$F$403,"=3114",I$12:I$403)</f>
        <v>0</v>
      </c>
      <c r="J114" s="14">
        <f t="shared" si="243"/>
        <v>0</v>
      </c>
      <c r="K114" s="14">
        <f t="shared" si="243"/>
        <v>0</v>
      </c>
      <c r="L114" s="14">
        <f t="shared" si="243"/>
        <v>0</v>
      </c>
      <c r="M114" s="14">
        <f t="shared" si="243"/>
        <v>0</v>
      </c>
      <c r="N114" s="744">
        <f t="shared" si="243"/>
        <v>0</v>
      </c>
      <c r="O114" s="120">
        <f t="shared" si="243"/>
        <v>0</v>
      </c>
      <c r="P114" s="14">
        <f t="shared" si="243"/>
        <v>0</v>
      </c>
      <c r="Q114" s="14">
        <f t="shared" si="243"/>
        <v>0</v>
      </c>
      <c r="R114" s="14">
        <f t="shared" si="243"/>
        <v>0</v>
      </c>
      <c r="S114" s="14">
        <f t="shared" si="243"/>
        <v>0</v>
      </c>
      <c r="T114" s="14">
        <f t="shared" si="243"/>
        <v>0</v>
      </c>
      <c r="U114" s="14">
        <f t="shared" si="243"/>
        <v>0</v>
      </c>
      <c r="V114" s="14">
        <f t="shared" si="243"/>
        <v>0</v>
      </c>
      <c r="W114" s="14">
        <f t="shared" si="243"/>
        <v>0</v>
      </c>
      <c r="X114" s="14">
        <f t="shared" si="243"/>
        <v>0</v>
      </c>
      <c r="Y114" s="14">
        <f t="shared" si="243"/>
        <v>0</v>
      </c>
      <c r="Z114" s="14">
        <f t="shared" si="243"/>
        <v>0</v>
      </c>
      <c r="AA114" s="14">
        <f t="shared" si="243"/>
        <v>0</v>
      </c>
      <c r="AB114" s="14">
        <f t="shared" si="243"/>
        <v>0</v>
      </c>
      <c r="AC114" s="14">
        <f t="shared" si="243"/>
        <v>0</v>
      </c>
      <c r="AD114" s="644">
        <f t="shared" si="243"/>
        <v>0</v>
      </c>
      <c r="AE114" s="650">
        <f t="shared" si="243"/>
        <v>0</v>
      </c>
      <c r="AF114" s="11">
        <f t="shared" si="243"/>
        <v>0</v>
      </c>
      <c r="AG114" s="11">
        <f t="shared" si="243"/>
        <v>0</v>
      </c>
      <c r="AH114" s="11">
        <f t="shared" si="243"/>
        <v>0</v>
      </c>
      <c r="AI114" s="11">
        <f t="shared" si="243"/>
        <v>0</v>
      </c>
      <c r="AJ114" s="11">
        <f t="shared" si="243"/>
        <v>0</v>
      </c>
      <c r="AK114" s="651">
        <f t="shared" si="243"/>
        <v>0</v>
      </c>
      <c r="AL114" s="119">
        <f t="shared" si="243"/>
        <v>0</v>
      </c>
      <c r="AM114" s="14">
        <f t="shared" si="243"/>
        <v>0</v>
      </c>
      <c r="AN114" s="14">
        <f t="shared" si="243"/>
        <v>0</v>
      </c>
      <c r="AO114" s="14">
        <f t="shared" si="243"/>
        <v>0</v>
      </c>
      <c r="AP114" s="14">
        <f t="shared" si="243"/>
        <v>0</v>
      </c>
      <c r="AQ114" s="14">
        <f t="shared" si="243"/>
        <v>0</v>
      </c>
      <c r="AR114" s="651">
        <f t="shared" si="243"/>
        <v>0</v>
      </c>
    </row>
    <row r="115" spans="4:44" s="60" customFormat="1" ht="12.95" customHeight="1" x14ac:dyDescent="0.25">
      <c r="D115" s="236"/>
      <c r="E115" s="237"/>
      <c r="F115" s="236"/>
      <c r="G115" s="238"/>
      <c r="H115" s="2">
        <v>3117</v>
      </c>
      <c r="I115" s="119">
        <f t="shared" ref="I115:AR115" si="244">SUMIF($F$12:$F$403,"=3117",I$12:I$403)</f>
        <v>14418327</v>
      </c>
      <c r="J115" s="14">
        <f t="shared" si="244"/>
        <v>10696089</v>
      </c>
      <c r="K115" s="14">
        <f t="shared" si="244"/>
        <v>3615278</v>
      </c>
      <c r="L115" s="14">
        <f t="shared" si="244"/>
        <v>106960</v>
      </c>
      <c r="M115" s="14">
        <f t="shared" si="244"/>
        <v>0</v>
      </c>
      <c r="N115" s="744">
        <f t="shared" si="244"/>
        <v>16.417300000000001</v>
      </c>
      <c r="O115" s="120">
        <f t="shared" si="244"/>
        <v>-21000</v>
      </c>
      <c r="P115" s="14">
        <f t="shared" si="244"/>
        <v>1828179</v>
      </c>
      <c r="Q115" s="14">
        <f t="shared" si="244"/>
        <v>0</v>
      </c>
      <c r="R115" s="14">
        <f t="shared" si="244"/>
        <v>0</v>
      </c>
      <c r="S115" s="14">
        <f t="shared" si="244"/>
        <v>0</v>
      </c>
      <c r="T115" s="14">
        <f t="shared" si="244"/>
        <v>0</v>
      </c>
      <c r="U115" s="14">
        <f t="shared" si="244"/>
        <v>1807179</v>
      </c>
      <c r="V115" s="14">
        <f t="shared" si="244"/>
        <v>21000</v>
      </c>
      <c r="W115" s="14">
        <f t="shared" si="244"/>
        <v>0</v>
      </c>
      <c r="X115" s="14">
        <f t="shared" si="244"/>
        <v>0</v>
      </c>
      <c r="Y115" s="14">
        <f t="shared" si="244"/>
        <v>21000</v>
      </c>
      <c r="Z115" s="14">
        <f t="shared" si="244"/>
        <v>1828179</v>
      </c>
      <c r="AA115" s="14">
        <f t="shared" si="244"/>
        <v>617925</v>
      </c>
      <c r="AB115" s="14">
        <f t="shared" si="244"/>
        <v>18071</v>
      </c>
      <c r="AC115" s="14">
        <f t="shared" si="244"/>
        <v>0</v>
      </c>
      <c r="AD115" s="644">
        <f t="shared" si="244"/>
        <v>2464175</v>
      </c>
      <c r="AE115" s="650">
        <f t="shared" si="244"/>
        <v>-0.01</v>
      </c>
      <c r="AF115" s="11">
        <f t="shared" si="244"/>
        <v>4.6900000000000004</v>
      </c>
      <c r="AG115" s="11">
        <f t="shared" si="244"/>
        <v>0</v>
      </c>
      <c r="AH115" s="11">
        <f t="shared" si="244"/>
        <v>0</v>
      </c>
      <c r="AI115" s="11">
        <f t="shared" si="244"/>
        <v>0</v>
      </c>
      <c r="AJ115" s="11">
        <f t="shared" si="244"/>
        <v>0</v>
      </c>
      <c r="AK115" s="651">
        <f t="shared" si="244"/>
        <v>4.6800000000000006</v>
      </c>
      <c r="AL115" s="119">
        <f t="shared" si="244"/>
        <v>16882502</v>
      </c>
      <c r="AM115" s="14">
        <f t="shared" si="244"/>
        <v>12503268</v>
      </c>
      <c r="AN115" s="14">
        <f t="shared" si="244"/>
        <v>21000</v>
      </c>
      <c r="AO115" s="14">
        <f t="shared" si="244"/>
        <v>4233203</v>
      </c>
      <c r="AP115" s="14">
        <f t="shared" si="244"/>
        <v>125031</v>
      </c>
      <c r="AQ115" s="14">
        <f t="shared" si="244"/>
        <v>0</v>
      </c>
      <c r="AR115" s="651">
        <f t="shared" si="244"/>
        <v>21.097300000000001</v>
      </c>
    </row>
    <row r="116" spans="4:44" s="60" customFormat="1" ht="12.95" customHeight="1" x14ac:dyDescent="0.25">
      <c r="D116" s="236"/>
      <c r="E116" s="237"/>
      <c r="F116" s="236"/>
      <c r="G116" s="238"/>
      <c r="H116" s="2">
        <v>3122</v>
      </c>
      <c r="I116" s="119">
        <f t="shared" ref="I116:AR116" si="245">SUMIF($F$12:$F$403,"=3122",I$12:I$403)</f>
        <v>0</v>
      </c>
      <c r="J116" s="14">
        <f t="shared" si="245"/>
        <v>0</v>
      </c>
      <c r="K116" s="14">
        <f t="shared" si="245"/>
        <v>0</v>
      </c>
      <c r="L116" s="14">
        <f t="shared" si="245"/>
        <v>0</v>
      </c>
      <c r="M116" s="14">
        <f t="shared" si="245"/>
        <v>0</v>
      </c>
      <c r="N116" s="744">
        <f t="shared" si="245"/>
        <v>0</v>
      </c>
      <c r="O116" s="120">
        <f t="shared" si="245"/>
        <v>0</v>
      </c>
      <c r="P116" s="14">
        <f t="shared" si="245"/>
        <v>0</v>
      </c>
      <c r="Q116" s="14">
        <f t="shared" si="245"/>
        <v>0</v>
      </c>
      <c r="R116" s="14">
        <f t="shared" si="245"/>
        <v>0</v>
      </c>
      <c r="S116" s="14">
        <f t="shared" si="245"/>
        <v>0</v>
      </c>
      <c r="T116" s="14">
        <f t="shared" si="245"/>
        <v>0</v>
      </c>
      <c r="U116" s="14">
        <f t="shared" si="245"/>
        <v>0</v>
      </c>
      <c r="V116" s="14">
        <f t="shared" si="245"/>
        <v>0</v>
      </c>
      <c r="W116" s="14">
        <f t="shared" si="245"/>
        <v>0</v>
      </c>
      <c r="X116" s="14">
        <f t="shared" si="245"/>
        <v>0</v>
      </c>
      <c r="Y116" s="14">
        <f t="shared" si="245"/>
        <v>0</v>
      </c>
      <c r="Z116" s="14">
        <f t="shared" si="245"/>
        <v>0</v>
      </c>
      <c r="AA116" s="14">
        <f t="shared" si="245"/>
        <v>0</v>
      </c>
      <c r="AB116" s="14">
        <f t="shared" si="245"/>
        <v>0</v>
      </c>
      <c r="AC116" s="14">
        <f t="shared" si="245"/>
        <v>0</v>
      </c>
      <c r="AD116" s="644">
        <f t="shared" si="245"/>
        <v>0</v>
      </c>
      <c r="AE116" s="650">
        <f t="shared" si="245"/>
        <v>0</v>
      </c>
      <c r="AF116" s="11">
        <f t="shared" si="245"/>
        <v>0</v>
      </c>
      <c r="AG116" s="11">
        <f t="shared" si="245"/>
        <v>0</v>
      </c>
      <c r="AH116" s="11">
        <f t="shared" si="245"/>
        <v>0</v>
      </c>
      <c r="AI116" s="11">
        <f t="shared" si="245"/>
        <v>0</v>
      </c>
      <c r="AJ116" s="11">
        <f t="shared" si="245"/>
        <v>0</v>
      </c>
      <c r="AK116" s="651">
        <f t="shared" si="245"/>
        <v>0</v>
      </c>
      <c r="AL116" s="119">
        <f t="shared" si="245"/>
        <v>0</v>
      </c>
      <c r="AM116" s="14">
        <f t="shared" si="245"/>
        <v>0</v>
      </c>
      <c r="AN116" s="14">
        <f t="shared" si="245"/>
        <v>0</v>
      </c>
      <c r="AO116" s="14">
        <f t="shared" si="245"/>
        <v>0</v>
      </c>
      <c r="AP116" s="14">
        <f t="shared" si="245"/>
        <v>0</v>
      </c>
      <c r="AQ116" s="14">
        <f t="shared" si="245"/>
        <v>0</v>
      </c>
      <c r="AR116" s="651">
        <f t="shared" si="245"/>
        <v>0</v>
      </c>
    </row>
    <row r="117" spans="4:44" s="60" customFormat="1" ht="12.95" customHeight="1" x14ac:dyDescent="0.25">
      <c r="D117" s="236"/>
      <c r="E117" s="237"/>
      <c r="F117" s="236"/>
      <c r="G117" s="238"/>
      <c r="H117" s="2">
        <v>3124</v>
      </c>
      <c r="I117" s="119">
        <f t="shared" ref="I117:AR117" si="246">SUMIF($F$12:$F$403,"=3124",I$12:I$403)</f>
        <v>0</v>
      </c>
      <c r="J117" s="14">
        <f t="shared" si="246"/>
        <v>0</v>
      </c>
      <c r="K117" s="14">
        <f t="shared" si="246"/>
        <v>0</v>
      </c>
      <c r="L117" s="14">
        <f t="shared" si="246"/>
        <v>0</v>
      </c>
      <c r="M117" s="14">
        <f t="shared" si="246"/>
        <v>0</v>
      </c>
      <c r="N117" s="744">
        <f t="shared" si="246"/>
        <v>0</v>
      </c>
      <c r="O117" s="120">
        <f t="shared" si="246"/>
        <v>0</v>
      </c>
      <c r="P117" s="14">
        <f t="shared" si="246"/>
        <v>0</v>
      </c>
      <c r="Q117" s="14">
        <f t="shared" si="246"/>
        <v>0</v>
      </c>
      <c r="R117" s="14">
        <f t="shared" si="246"/>
        <v>0</v>
      </c>
      <c r="S117" s="14">
        <f t="shared" si="246"/>
        <v>0</v>
      </c>
      <c r="T117" s="14">
        <f t="shared" si="246"/>
        <v>0</v>
      </c>
      <c r="U117" s="14">
        <f t="shared" si="246"/>
        <v>0</v>
      </c>
      <c r="V117" s="14">
        <f t="shared" si="246"/>
        <v>0</v>
      </c>
      <c r="W117" s="14">
        <f t="shared" si="246"/>
        <v>0</v>
      </c>
      <c r="X117" s="14">
        <f t="shared" si="246"/>
        <v>0</v>
      </c>
      <c r="Y117" s="14">
        <f t="shared" si="246"/>
        <v>0</v>
      </c>
      <c r="Z117" s="14">
        <f t="shared" si="246"/>
        <v>0</v>
      </c>
      <c r="AA117" s="14">
        <f t="shared" si="246"/>
        <v>0</v>
      </c>
      <c r="AB117" s="14">
        <f t="shared" si="246"/>
        <v>0</v>
      </c>
      <c r="AC117" s="14">
        <f t="shared" si="246"/>
        <v>0</v>
      </c>
      <c r="AD117" s="644">
        <f t="shared" si="246"/>
        <v>0</v>
      </c>
      <c r="AE117" s="650">
        <f t="shared" si="246"/>
        <v>0</v>
      </c>
      <c r="AF117" s="11">
        <f t="shared" si="246"/>
        <v>0</v>
      </c>
      <c r="AG117" s="11">
        <f t="shared" si="246"/>
        <v>0</v>
      </c>
      <c r="AH117" s="11">
        <f t="shared" si="246"/>
        <v>0</v>
      </c>
      <c r="AI117" s="11">
        <f t="shared" si="246"/>
        <v>0</v>
      </c>
      <c r="AJ117" s="11">
        <f t="shared" si="246"/>
        <v>0</v>
      </c>
      <c r="AK117" s="651">
        <f t="shared" si="246"/>
        <v>0</v>
      </c>
      <c r="AL117" s="119">
        <f t="shared" si="246"/>
        <v>0</v>
      </c>
      <c r="AM117" s="14">
        <f t="shared" si="246"/>
        <v>0</v>
      </c>
      <c r="AN117" s="14">
        <f t="shared" si="246"/>
        <v>0</v>
      </c>
      <c r="AO117" s="14">
        <f t="shared" si="246"/>
        <v>0</v>
      </c>
      <c r="AP117" s="14">
        <f t="shared" si="246"/>
        <v>0</v>
      </c>
      <c r="AQ117" s="14">
        <f t="shared" si="246"/>
        <v>0</v>
      </c>
      <c r="AR117" s="651">
        <f t="shared" si="246"/>
        <v>0</v>
      </c>
    </row>
    <row r="118" spans="4:44" s="60" customFormat="1" ht="12.95" customHeight="1" x14ac:dyDescent="0.25">
      <c r="D118" s="236"/>
      <c r="E118" s="237"/>
      <c r="F118" s="236"/>
      <c r="G118" s="238"/>
      <c r="H118" s="2">
        <v>3141</v>
      </c>
      <c r="I118" s="119">
        <f t="shared" ref="I118:AR118" si="247">SUMIF($F$12:$F$403,"=3141",I$12:I$403)</f>
        <v>0</v>
      </c>
      <c r="J118" s="14">
        <f t="shared" si="247"/>
        <v>0</v>
      </c>
      <c r="K118" s="14">
        <f t="shared" si="247"/>
        <v>0</v>
      </c>
      <c r="L118" s="14">
        <f t="shared" si="247"/>
        <v>0</v>
      </c>
      <c r="M118" s="14">
        <f t="shared" si="247"/>
        <v>0</v>
      </c>
      <c r="N118" s="744">
        <f t="shared" si="247"/>
        <v>0</v>
      </c>
      <c r="O118" s="120">
        <f t="shared" si="247"/>
        <v>0</v>
      </c>
      <c r="P118" s="14">
        <f t="shared" si="247"/>
        <v>0</v>
      </c>
      <c r="Q118" s="14">
        <f t="shared" si="247"/>
        <v>0</v>
      </c>
      <c r="R118" s="14">
        <f t="shared" si="247"/>
        <v>0</v>
      </c>
      <c r="S118" s="14">
        <f t="shared" si="247"/>
        <v>0</v>
      </c>
      <c r="T118" s="14">
        <f t="shared" si="247"/>
        <v>0</v>
      </c>
      <c r="U118" s="14">
        <f t="shared" si="247"/>
        <v>0</v>
      </c>
      <c r="V118" s="14">
        <f t="shared" si="247"/>
        <v>0</v>
      </c>
      <c r="W118" s="14">
        <f t="shared" si="247"/>
        <v>0</v>
      </c>
      <c r="X118" s="14">
        <f t="shared" si="247"/>
        <v>0</v>
      </c>
      <c r="Y118" s="14">
        <f t="shared" si="247"/>
        <v>0</v>
      </c>
      <c r="Z118" s="14">
        <f t="shared" si="247"/>
        <v>0</v>
      </c>
      <c r="AA118" s="14">
        <f t="shared" si="247"/>
        <v>0</v>
      </c>
      <c r="AB118" s="14">
        <f t="shared" si="247"/>
        <v>0</v>
      </c>
      <c r="AC118" s="14">
        <f t="shared" si="247"/>
        <v>0</v>
      </c>
      <c r="AD118" s="644">
        <f t="shared" si="247"/>
        <v>0</v>
      </c>
      <c r="AE118" s="650">
        <f t="shared" si="247"/>
        <v>0</v>
      </c>
      <c r="AF118" s="11">
        <f t="shared" si="247"/>
        <v>0</v>
      </c>
      <c r="AG118" s="11">
        <f t="shared" si="247"/>
        <v>0</v>
      </c>
      <c r="AH118" s="11">
        <f t="shared" si="247"/>
        <v>0</v>
      </c>
      <c r="AI118" s="11">
        <f t="shared" si="247"/>
        <v>0</v>
      </c>
      <c r="AJ118" s="11">
        <f t="shared" si="247"/>
        <v>0</v>
      </c>
      <c r="AK118" s="651">
        <f t="shared" si="247"/>
        <v>0</v>
      </c>
      <c r="AL118" s="119">
        <f t="shared" si="247"/>
        <v>0</v>
      </c>
      <c r="AM118" s="14">
        <f t="shared" si="247"/>
        <v>0</v>
      </c>
      <c r="AN118" s="14">
        <f t="shared" si="247"/>
        <v>0</v>
      </c>
      <c r="AO118" s="14">
        <f t="shared" si="247"/>
        <v>0</v>
      </c>
      <c r="AP118" s="14">
        <f t="shared" si="247"/>
        <v>0</v>
      </c>
      <c r="AQ118" s="14">
        <f t="shared" si="247"/>
        <v>0</v>
      </c>
      <c r="AR118" s="651">
        <f t="shared" si="247"/>
        <v>0</v>
      </c>
    </row>
    <row r="119" spans="4:44" s="60" customFormat="1" ht="12.95" customHeight="1" x14ac:dyDescent="0.25">
      <c r="D119" s="236"/>
      <c r="E119" s="237"/>
      <c r="F119" s="236"/>
      <c r="G119" s="238"/>
      <c r="H119" s="2">
        <v>3143</v>
      </c>
      <c r="I119" s="119">
        <f t="shared" ref="I119:AR119" si="248">SUMIF($F$12:$F$403,"=3143",I$12:I$403)</f>
        <v>16809669</v>
      </c>
      <c r="J119" s="14">
        <f t="shared" si="248"/>
        <v>12470080</v>
      </c>
      <c r="K119" s="14">
        <f t="shared" si="248"/>
        <v>4214888</v>
      </c>
      <c r="L119" s="14">
        <f t="shared" si="248"/>
        <v>124701</v>
      </c>
      <c r="M119" s="14">
        <f t="shared" si="248"/>
        <v>0</v>
      </c>
      <c r="N119" s="744">
        <f t="shared" si="248"/>
        <v>23.468100000000003</v>
      </c>
      <c r="O119" s="120">
        <f t="shared" si="248"/>
        <v>-12000</v>
      </c>
      <c r="P119" s="14">
        <f t="shared" si="248"/>
        <v>0</v>
      </c>
      <c r="Q119" s="14">
        <f t="shared" si="248"/>
        <v>0</v>
      </c>
      <c r="R119" s="14">
        <f t="shared" si="248"/>
        <v>0</v>
      </c>
      <c r="S119" s="14">
        <f t="shared" si="248"/>
        <v>0</v>
      </c>
      <c r="T119" s="14">
        <f t="shared" si="248"/>
        <v>0</v>
      </c>
      <c r="U119" s="14">
        <f t="shared" si="248"/>
        <v>-12000</v>
      </c>
      <c r="V119" s="14">
        <f t="shared" si="248"/>
        <v>12000</v>
      </c>
      <c r="W119" s="14">
        <f t="shared" si="248"/>
        <v>0</v>
      </c>
      <c r="X119" s="14">
        <f t="shared" si="248"/>
        <v>0</v>
      </c>
      <c r="Y119" s="14">
        <f t="shared" si="248"/>
        <v>12000</v>
      </c>
      <c r="Z119" s="14">
        <f t="shared" si="248"/>
        <v>0</v>
      </c>
      <c r="AA119" s="14">
        <f t="shared" si="248"/>
        <v>0</v>
      </c>
      <c r="AB119" s="14">
        <f t="shared" si="248"/>
        <v>-120</v>
      </c>
      <c r="AC119" s="14">
        <f t="shared" si="248"/>
        <v>0</v>
      </c>
      <c r="AD119" s="644">
        <f t="shared" si="248"/>
        <v>-120</v>
      </c>
      <c r="AE119" s="650">
        <f t="shared" si="248"/>
        <v>-0.01</v>
      </c>
      <c r="AF119" s="11">
        <f t="shared" si="248"/>
        <v>0</v>
      </c>
      <c r="AG119" s="11">
        <f t="shared" si="248"/>
        <v>0</v>
      </c>
      <c r="AH119" s="11">
        <f t="shared" si="248"/>
        <v>0</v>
      </c>
      <c r="AI119" s="11">
        <f t="shared" si="248"/>
        <v>0</v>
      </c>
      <c r="AJ119" s="11">
        <f t="shared" si="248"/>
        <v>0</v>
      </c>
      <c r="AK119" s="651">
        <f t="shared" si="248"/>
        <v>-0.01</v>
      </c>
      <c r="AL119" s="119">
        <f t="shared" si="248"/>
        <v>16809549</v>
      </c>
      <c r="AM119" s="14">
        <f t="shared" si="248"/>
        <v>12458080</v>
      </c>
      <c r="AN119" s="14">
        <f t="shared" si="248"/>
        <v>12000</v>
      </c>
      <c r="AO119" s="14">
        <f t="shared" si="248"/>
        <v>4214888</v>
      </c>
      <c r="AP119" s="14">
        <f t="shared" si="248"/>
        <v>124581</v>
      </c>
      <c r="AQ119" s="14">
        <f t="shared" si="248"/>
        <v>0</v>
      </c>
      <c r="AR119" s="651">
        <f t="shared" si="248"/>
        <v>23.458100000000002</v>
      </c>
    </row>
    <row r="120" spans="4:44" s="60" customFormat="1" x14ac:dyDescent="0.25">
      <c r="D120" s="236"/>
      <c r="E120" s="237"/>
      <c r="F120" s="236"/>
      <c r="G120" s="238"/>
      <c r="H120" s="2">
        <v>3231</v>
      </c>
      <c r="I120" s="119">
        <f t="shared" ref="I120:AR120" si="249">SUMIF($F$12:$F$403,"=3231",I$12:I$403)</f>
        <v>22674558</v>
      </c>
      <c r="J120" s="14">
        <f t="shared" si="249"/>
        <v>16820888</v>
      </c>
      <c r="K120" s="14">
        <f t="shared" si="249"/>
        <v>5685461</v>
      </c>
      <c r="L120" s="14">
        <f t="shared" si="249"/>
        <v>168209</v>
      </c>
      <c r="M120" s="14">
        <f t="shared" si="249"/>
        <v>0</v>
      </c>
      <c r="N120" s="744">
        <f t="shared" si="249"/>
        <v>25.2486</v>
      </c>
      <c r="O120" s="120">
        <f t="shared" si="249"/>
        <v>-3000</v>
      </c>
      <c r="P120" s="14">
        <f t="shared" si="249"/>
        <v>0</v>
      </c>
      <c r="Q120" s="14">
        <f t="shared" si="249"/>
        <v>0</v>
      </c>
      <c r="R120" s="14">
        <f t="shared" si="249"/>
        <v>0</v>
      </c>
      <c r="S120" s="14">
        <f t="shared" si="249"/>
        <v>0</v>
      </c>
      <c r="T120" s="14">
        <f t="shared" si="249"/>
        <v>0</v>
      </c>
      <c r="U120" s="14">
        <f t="shared" si="249"/>
        <v>-3000</v>
      </c>
      <c r="V120" s="14">
        <f t="shared" si="249"/>
        <v>3000</v>
      </c>
      <c r="W120" s="14">
        <f t="shared" si="249"/>
        <v>0</v>
      </c>
      <c r="X120" s="14">
        <f t="shared" si="249"/>
        <v>0</v>
      </c>
      <c r="Y120" s="14">
        <f t="shared" si="249"/>
        <v>3000</v>
      </c>
      <c r="Z120" s="14">
        <f t="shared" si="249"/>
        <v>0</v>
      </c>
      <c r="AA120" s="14">
        <f t="shared" si="249"/>
        <v>0</v>
      </c>
      <c r="AB120" s="14">
        <f t="shared" si="249"/>
        <v>-30</v>
      </c>
      <c r="AC120" s="14">
        <f t="shared" si="249"/>
        <v>0</v>
      </c>
      <c r="AD120" s="644">
        <f t="shared" si="249"/>
        <v>-30</v>
      </c>
      <c r="AE120" s="650">
        <f t="shared" si="249"/>
        <v>0</v>
      </c>
      <c r="AF120" s="11">
        <f t="shared" si="249"/>
        <v>0</v>
      </c>
      <c r="AG120" s="11">
        <f t="shared" si="249"/>
        <v>0</v>
      </c>
      <c r="AH120" s="11">
        <f t="shared" si="249"/>
        <v>0</v>
      </c>
      <c r="AI120" s="11">
        <f t="shared" si="249"/>
        <v>0</v>
      </c>
      <c r="AJ120" s="11">
        <f t="shared" si="249"/>
        <v>0</v>
      </c>
      <c r="AK120" s="651">
        <f t="shared" si="249"/>
        <v>0</v>
      </c>
      <c r="AL120" s="119">
        <f t="shared" si="249"/>
        <v>22674528</v>
      </c>
      <c r="AM120" s="14">
        <f t="shared" si="249"/>
        <v>16817888</v>
      </c>
      <c r="AN120" s="14">
        <f t="shared" si="249"/>
        <v>3000</v>
      </c>
      <c r="AO120" s="14">
        <f t="shared" si="249"/>
        <v>5685461</v>
      </c>
      <c r="AP120" s="14">
        <f t="shared" si="249"/>
        <v>168179</v>
      </c>
      <c r="AQ120" s="14">
        <f t="shared" si="249"/>
        <v>0</v>
      </c>
      <c r="AR120" s="651">
        <f t="shared" si="249"/>
        <v>25.2486</v>
      </c>
    </row>
    <row r="121" spans="4:44" s="60" customFormat="1" ht="15.75" thickBot="1" x14ac:dyDescent="0.3">
      <c r="D121" s="236"/>
      <c r="E121" s="237"/>
      <c r="F121" s="236"/>
      <c r="G121" s="238"/>
      <c r="H121" s="103">
        <v>3233</v>
      </c>
      <c r="I121" s="122">
        <f t="shared" ref="I121:AR121" si="250">SUMIF($F$12:$F$403,"=3233",I$12:I$403)</f>
        <v>1828972</v>
      </c>
      <c r="J121" s="123">
        <f t="shared" si="250"/>
        <v>1356804</v>
      </c>
      <c r="K121" s="123">
        <f t="shared" si="250"/>
        <v>458600</v>
      </c>
      <c r="L121" s="123">
        <f t="shared" si="250"/>
        <v>13568</v>
      </c>
      <c r="M121" s="123">
        <f t="shared" si="250"/>
        <v>0</v>
      </c>
      <c r="N121" s="745">
        <f t="shared" si="250"/>
        <v>2.2999999999999998</v>
      </c>
      <c r="O121" s="125">
        <f t="shared" si="250"/>
        <v>0</v>
      </c>
      <c r="P121" s="123">
        <f t="shared" si="250"/>
        <v>0</v>
      </c>
      <c r="Q121" s="123">
        <f t="shared" si="250"/>
        <v>0</v>
      </c>
      <c r="R121" s="123">
        <f t="shared" si="250"/>
        <v>0</v>
      </c>
      <c r="S121" s="123">
        <f t="shared" si="250"/>
        <v>0</v>
      </c>
      <c r="T121" s="123">
        <f t="shared" si="250"/>
        <v>0</v>
      </c>
      <c r="U121" s="123">
        <f t="shared" si="250"/>
        <v>0</v>
      </c>
      <c r="V121" s="123">
        <f t="shared" si="250"/>
        <v>0</v>
      </c>
      <c r="W121" s="123">
        <f t="shared" si="250"/>
        <v>0</v>
      </c>
      <c r="X121" s="123">
        <f t="shared" si="250"/>
        <v>0</v>
      </c>
      <c r="Y121" s="123">
        <f t="shared" si="250"/>
        <v>0</v>
      </c>
      <c r="Z121" s="123">
        <f t="shared" si="250"/>
        <v>0</v>
      </c>
      <c r="AA121" s="123">
        <f t="shared" si="250"/>
        <v>0</v>
      </c>
      <c r="AB121" s="123">
        <f t="shared" si="250"/>
        <v>0</v>
      </c>
      <c r="AC121" s="123">
        <f t="shared" si="250"/>
        <v>0</v>
      </c>
      <c r="AD121" s="645">
        <f t="shared" si="250"/>
        <v>0</v>
      </c>
      <c r="AE121" s="652">
        <f t="shared" si="250"/>
        <v>0</v>
      </c>
      <c r="AF121" s="124">
        <f t="shared" si="250"/>
        <v>0</v>
      </c>
      <c r="AG121" s="124">
        <f t="shared" si="250"/>
        <v>0</v>
      </c>
      <c r="AH121" s="124">
        <f t="shared" si="250"/>
        <v>0</v>
      </c>
      <c r="AI121" s="124">
        <f t="shared" si="250"/>
        <v>0</v>
      </c>
      <c r="AJ121" s="124">
        <f t="shared" si="250"/>
        <v>0</v>
      </c>
      <c r="AK121" s="653">
        <f t="shared" si="250"/>
        <v>0</v>
      </c>
      <c r="AL121" s="122">
        <f t="shared" si="250"/>
        <v>1828972</v>
      </c>
      <c r="AM121" s="123">
        <f t="shared" si="250"/>
        <v>1356804</v>
      </c>
      <c r="AN121" s="123">
        <f t="shared" si="250"/>
        <v>0</v>
      </c>
      <c r="AO121" s="123">
        <f t="shared" si="250"/>
        <v>458600</v>
      </c>
      <c r="AP121" s="123">
        <f t="shared" si="250"/>
        <v>13568</v>
      </c>
      <c r="AQ121" s="123">
        <f t="shared" si="250"/>
        <v>0</v>
      </c>
      <c r="AR121" s="653">
        <f t="shared" si="250"/>
        <v>2.2999999999999998</v>
      </c>
    </row>
    <row r="122" spans="4:44" x14ac:dyDescent="0.25">
      <c r="AE122" s="240"/>
    </row>
  </sheetData>
  <mergeCells count="45">
    <mergeCell ref="AL6:AR7"/>
    <mergeCell ref="AR8:AR10"/>
    <mergeCell ref="AM9:AM10"/>
    <mergeCell ref="AC7:AC10"/>
    <mergeCell ref="AE8:AE10"/>
    <mergeCell ref="AF8:AF10"/>
    <mergeCell ref="AG8:AG10"/>
    <mergeCell ref="AH8:AH10"/>
    <mergeCell ref="AQ9:AQ10"/>
    <mergeCell ref="AL8:AL10"/>
    <mergeCell ref="AP9:AP10"/>
    <mergeCell ref="AN9:AN10"/>
    <mergeCell ref="AM8:AP8"/>
    <mergeCell ref="AO9:AO10"/>
    <mergeCell ref="AE7:AK7"/>
    <mergeCell ref="A3:E3"/>
    <mergeCell ref="I8:I10"/>
    <mergeCell ref="I6:N7"/>
    <mergeCell ref="O6:AK6"/>
    <mergeCell ref="O7:U8"/>
    <mergeCell ref="V7:Y8"/>
    <mergeCell ref="L9:L10"/>
    <mergeCell ref="N8:N10"/>
    <mergeCell ref="AI8:AI10"/>
    <mergeCell ref="AJ8:AJ10"/>
    <mergeCell ref="AK8:AK10"/>
    <mergeCell ref="P9:P10"/>
    <mergeCell ref="J9:J10"/>
    <mergeCell ref="M9:M10"/>
    <mergeCell ref="J8:L8"/>
    <mergeCell ref="S9:S10"/>
    <mergeCell ref="K9:K10"/>
    <mergeCell ref="AB7:AB10"/>
    <mergeCell ref="AD7:AD10"/>
    <mergeCell ref="Q9:Q10"/>
    <mergeCell ref="U9:U10"/>
    <mergeCell ref="O9:O10"/>
    <mergeCell ref="R9:R10"/>
    <mergeCell ref="T9:T10"/>
    <mergeCell ref="V9:V10"/>
    <mergeCell ref="W9:W10"/>
    <mergeCell ref="Y9:Y10"/>
    <mergeCell ref="AA7:AA10"/>
    <mergeCell ref="X9:X10"/>
    <mergeCell ref="Z7:Z10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AR172"/>
  <sheetViews>
    <sheetView zoomScaleNormal="100" workbookViewId="0">
      <pane xSplit="8" ySplit="11" topLeftCell="AB43" activePane="bottomRight" state="frozen"/>
      <selection activeCell="I6" sqref="I6:AR10"/>
      <selection pane="topRight" activeCell="I6" sqref="I6:AR10"/>
      <selection pane="bottomLeft" activeCell="I6" sqref="I6:AR10"/>
      <selection pane="bottomRight" activeCell="AL6" sqref="AL6:AR7"/>
    </sheetView>
  </sheetViews>
  <sheetFormatPr defaultColWidth="9.140625" defaultRowHeight="15" x14ac:dyDescent="0.25"/>
  <cols>
    <col min="1" max="1" width="5" style="318" customWidth="1"/>
    <col min="2" max="2" width="4.7109375" style="234" bestFit="1" customWidth="1"/>
    <col min="3" max="3" width="10.28515625" style="234" customWidth="1"/>
    <col min="4" max="4" width="9.42578125" style="234" customWidth="1"/>
    <col min="5" max="5" width="27.7109375" style="175" customWidth="1"/>
    <col min="6" max="6" width="4.42578125" style="175" bestFit="1" customWidth="1"/>
    <col min="7" max="7" width="10.28515625" style="175" customWidth="1"/>
    <col min="8" max="8" width="8" style="319" customWidth="1"/>
    <col min="9" max="9" width="13.140625" style="239" customWidth="1"/>
    <col min="10" max="10" width="12.85546875" style="239" customWidth="1"/>
    <col min="11" max="12" width="10.85546875" style="239" customWidth="1"/>
    <col min="13" max="13" width="11.85546875" style="239" customWidth="1"/>
    <col min="14" max="14" width="12.7109375" style="732" customWidth="1"/>
    <col min="15" max="17" width="10.28515625" style="239" customWidth="1"/>
    <col min="18" max="18" width="10.5703125" style="239" customWidth="1"/>
    <col min="19" max="19" width="12.140625" style="464" customWidth="1"/>
    <col min="20" max="23" width="10.28515625" style="239" customWidth="1"/>
    <col min="24" max="24" width="9.42578125" style="239" customWidth="1"/>
    <col min="25" max="25" width="10.28515625" style="239" customWidth="1"/>
    <col min="26" max="27" width="10.42578125" style="240" customWidth="1"/>
    <col min="28" max="28" width="11.140625" style="239" customWidth="1"/>
    <col min="29" max="29" width="9.140625" style="239" customWidth="1"/>
    <col min="30" max="30" width="9.7109375" style="239" customWidth="1"/>
    <col min="31" max="31" width="9.85546875" style="240" customWidth="1"/>
    <col min="32" max="32" width="9.140625" style="240" customWidth="1"/>
    <col min="33" max="33" width="10.28515625" style="240" customWidth="1"/>
    <col min="34" max="34" width="9.140625" style="240" customWidth="1"/>
    <col min="35" max="35" width="12.28515625" style="463" customWidth="1"/>
    <col min="36" max="37" width="9.140625" style="240" customWidth="1"/>
    <col min="38" max="38" width="12" style="240" customWidth="1"/>
    <col min="39" max="39" width="12.140625" style="240" customWidth="1"/>
    <col min="40" max="40" width="10.85546875" style="240" customWidth="1"/>
    <col min="41" max="41" width="12.140625" style="240" customWidth="1"/>
    <col min="42" max="43" width="10.85546875" style="240" customWidth="1"/>
    <col min="44" max="44" width="10.5703125" style="240" customWidth="1"/>
    <col min="45" max="16384" width="9.140625" style="175"/>
  </cols>
  <sheetData>
    <row r="1" spans="1:44" ht="12" customHeight="1" x14ac:dyDescent="0.25">
      <c r="A1" s="46" t="s">
        <v>2</v>
      </c>
      <c r="B1" s="46"/>
      <c r="C1" s="38"/>
      <c r="D1" s="46"/>
      <c r="E1" s="46"/>
      <c r="F1" s="174"/>
      <c r="G1" s="174"/>
      <c r="H1" s="174"/>
      <c r="AB1" s="48"/>
      <c r="AC1" s="48"/>
      <c r="AD1" s="48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12" customHeight="1" x14ac:dyDescent="0.25">
      <c r="A2" s="46" t="s">
        <v>3</v>
      </c>
      <c r="B2" s="46"/>
      <c r="C2" s="38"/>
      <c r="D2" s="46"/>
      <c r="E2" s="46"/>
      <c r="F2" s="174"/>
      <c r="G2" s="174"/>
      <c r="H2" s="174"/>
    </row>
    <row r="3" spans="1:44" ht="12" customHeight="1" x14ac:dyDescent="0.25">
      <c r="A3" s="972" t="s">
        <v>4</v>
      </c>
      <c r="B3" s="972"/>
      <c r="C3" s="972"/>
      <c r="D3" s="972"/>
      <c r="E3" s="972"/>
      <c r="F3" s="174"/>
      <c r="G3" s="174"/>
      <c r="H3" s="174"/>
      <c r="AC3" s="380"/>
    </row>
    <row r="4" spans="1:44" ht="12" customHeight="1" x14ac:dyDescent="0.25">
      <c r="A4" s="286"/>
      <c r="B4" s="321"/>
      <c r="C4" s="321"/>
      <c r="D4" s="321"/>
      <c r="E4" s="321"/>
      <c r="F4" s="174"/>
      <c r="G4" s="174"/>
      <c r="H4" s="174"/>
      <c r="O4" s="49"/>
      <c r="P4" s="90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  <c r="AF4" s="900"/>
      <c r="AG4" s="50"/>
      <c r="AH4" s="50"/>
      <c r="AI4" s="50"/>
      <c r="AJ4" s="50"/>
      <c r="AK4" s="50"/>
    </row>
    <row r="5" spans="1:44" ht="16.5" thickBot="1" x14ac:dyDescent="0.3">
      <c r="A5" s="127" t="s">
        <v>841</v>
      </c>
      <c r="B5" s="475"/>
      <c r="C5" s="475"/>
      <c r="D5" s="475"/>
      <c r="E5" s="474"/>
      <c r="F5" s="551"/>
      <c r="G5" s="551"/>
      <c r="H5" s="177"/>
      <c r="I5" s="760"/>
      <c r="J5" s="760"/>
      <c r="K5" s="760"/>
      <c r="L5" s="760"/>
      <c r="M5" s="760"/>
      <c r="N5" s="761"/>
      <c r="O5" s="322"/>
      <c r="P5" s="707" t="s">
        <v>832</v>
      </c>
      <c r="Q5" s="49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49"/>
      <c r="AC5" s="49"/>
      <c r="AD5" s="49"/>
      <c r="AE5" s="50"/>
      <c r="AF5" s="707" t="s">
        <v>832</v>
      </c>
      <c r="AG5" s="50"/>
      <c r="AH5" s="50"/>
      <c r="AI5" s="50"/>
      <c r="AJ5" s="50"/>
      <c r="AK5" s="50"/>
    </row>
    <row r="6" spans="1:44" ht="15" customHeight="1" thickBot="1" x14ac:dyDescent="0.3">
      <c r="A6" s="390"/>
      <c r="B6" s="391"/>
      <c r="C6" s="392"/>
      <c r="D6" s="392"/>
      <c r="E6" s="391"/>
      <c r="F6" s="391"/>
      <c r="G6" s="47"/>
      <c r="H6" s="174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4" ht="16.5" customHeight="1" thickBot="1" x14ac:dyDescent="0.3">
      <c r="A7" s="286"/>
      <c r="B7" s="178"/>
      <c r="C7" s="60"/>
      <c r="D7" s="179"/>
      <c r="E7" s="178"/>
      <c r="F7" s="174"/>
      <c r="G7" s="174"/>
      <c r="H7" s="174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4" ht="15" customHeight="1" x14ac:dyDescent="0.25">
      <c r="A8" s="287"/>
      <c r="B8" s="181"/>
      <c r="C8" s="181"/>
      <c r="D8" s="181"/>
      <c r="E8" s="181"/>
      <c r="F8" s="181"/>
      <c r="G8" s="181"/>
      <c r="H8" s="181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4" ht="33" customHeight="1" thickBot="1" x14ac:dyDescent="0.3">
      <c r="A9" s="285" t="s">
        <v>752</v>
      </c>
      <c r="B9" s="60"/>
      <c r="C9" s="60"/>
      <c r="D9" s="183"/>
      <c r="E9" s="60"/>
      <c r="F9" s="184"/>
      <c r="G9" s="185"/>
      <c r="H9" s="185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4" ht="22.5" customHeight="1" thickBot="1" x14ac:dyDescent="0.3">
      <c r="A10" s="288" t="s">
        <v>729</v>
      </c>
      <c r="B10" s="187" t="s">
        <v>512</v>
      </c>
      <c r="C10" s="187" t="s">
        <v>513</v>
      </c>
      <c r="D10" s="187" t="s">
        <v>250</v>
      </c>
      <c r="E10" s="115" t="s">
        <v>731</v>
      </c>
      <c r="F10" s="187" t="s">
        <v>0</v>
      </c>
      <c r="G10" s="188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4" s="192" customFormat="1" ht="12" thickBot="1" x14ac:dyDescent="0.25">
      <c r="A11" s="289" t="s">
        <v>514</v>
      </c>
      <c r="B11" s="190" t="s">
        <v>515</v>
      </c>
      <c r="C11" s="190" t="s">
        <v>252</v>
      </c>
      <c r="D11" s="190" t="s">
        <v>253</v>
      </c>
      <c r="E11" s="190" t="s">
        <v>516</v>
      </c>
      <c r="F11" s="190" t="s">
        <v>0</v>
      </c>
      <c r="G11" s="190" t="s">
        <v>517</v>
      </c>
      <c r="H11" s="191" t="s">
        <v>725</v>
      </c>
      <c r="I11" s="575" t="s">
        <v>254</v>
      </c>
      <c r="J11" s="533" t="s">
        <v>255</v>
      </c>
      <c r="K11" s="533" t="s">
        <v>256</v>
      </c>
      <c r="L11" s="533" t="s">
        <v>257</v>
      </c>
      <c r="M11" s="533" t="s">
        <v>804</v>
      </c>
      <c r="N11" s="576" t="s">
        <v>827</v>
      </c>
      <c r="O11" s="534" t="s">
        <v>776</v>
      </c>
      <c r="P11" s="533" t="s">
        <v>789</v>
      </c>
      <c r="Q11" s="533" t="s">
        <v>776</v>
      </c>
      <c r="R11" s="533" t="s">
        <v>776</v>
      </c>
      <c r="S11" s="533" t="s">
        <v>789</v>
      </c>
      <c r="T11" s="533" t="s">
        <v>789</v>
      </c>
      <c r="U11" s="533" t="s">
        <v>776</v>
      </c>
      <c r="V11" s="534" t="s">
        <v>777</v>
      </c>
      <c r="W11" s="533" t="s">
        <v>777</v>
      </c>
      <c r="X11" s="533" t="s">
        <v>777</v>
      </c>
      <c r="Y11" s="533" t="s">
        <v>777</v>
      </c>
      <c r="Z11" s="534" t="s">
        <v>775</v>
      </c>
      <c r="AA11" s="533" t="s">
        <v>273</v>
      </c>
      <c r="AB11" s="533" t="s">
        <v>274</v>
      </c>
      <c r="AC11" s="533" t="s">
        <v>803</v>
      </c>
      <c r="AD11" s="580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34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827</v>
      </c>
    </row>
    <row r="12" spans="1:44" ht="14.25" customHeight="1" x14ac:dyDescent="0.25">
      <c r="A12" s="193">
        <v>1</v>
      </c>
      <c r="B12" s="194">
        <v>5490</v>
      </c>
      <c r="C12" s="194">
        <v>600099474</v>
      </c>
      <c r="D12" s="194">
        <v>71173854</v>
      </c>
      <c r="E12" s="290" t="s">
        <v>437</v>
      </c>
      <c r="F12" s="194">
        <v>3111</v>
      </c>
      <c r="G12" s="291" t="s">
        <v>290</v>
      </c>
      <c r="H12" s="292" t="s">
        <v>262</v>
      </c>
      <c r="I12" s="585">
        <f>SUM(J12:M12)</f>
        <v>18762963</v>
      </c>
      <c r="J12" s="524">
        <v>13919112</v>
      </c>
      <c r="K12" s="781">
        <f>ROUND(J12*33.8%,0)</f>
        <v>4704660</v>
      </c>
      <c r="L12" s="781">
        <f>ROUND(J12*1%,0)</f>
        <v>139191</v>
      </c>
      <c r="M12" s="524">
        <v>0</v>
      </c>
      <c r="N12" s="815">
        <v>24</v>
      </c>
      <c r="O12" s="638">
        <f t="shared" ref="O12:O18" si="0">V12*-1</f>
        <v>0</v>
      </c>
      <c r="P12" s="526">
        <v>0</v>
      </c>
      <c r="Q12" s="526">
        <v>0</v>
      </c>
      <c r="R12" s="526">
        <v>0</v>
      </c>
      <c r="S12" s="526">
        <v>0</v>
      </c>
      <c r="T12" s="526">
        <v>0</v>
      </c>
      <c r="U12" s="526">
        <f t="shared" ref="U12:U18" si="1">O12+P12+Q12+R12+S12+T12</f>
        <v>0</v>
      </c>
      <c r="V12" s="526">
        <v>0</v>
      </c>
      <c r="W12" s="526">
        <v>0</v>
      </c>
      <c r="X12" s="526">
        <v>0</v>
      </c>
      <c r="Y12" s="526">
        <f>V12+W12+X12</f>
        <v>0</v>
      </c>
      <c r="Z12" s="526">
        <f>U12+Y12</f>
        <v>0</v>
      </c>
      <c r="AA12" s="639">
        <f>ROUND((U12+Y12)*33.8%,0)</f>
        <v>0</v>
      </c>
      <c r="AB12" s="639">
        <f t="shared" ref="AB12:AB18" si="2">ROUND(U12*1%,0)</f>
        <v>0</v>
      </c>
      <c r="AC12" s="526">
        <v>0</v>
      </c>
      <c r="AD12" s="825">
        <f t="shared" ref="AD12:AD18" si="3">Z12+AA12+AB12+AC12</f>
        <v>0</v>
      </c>
      <c r="AE12" s="850">
        <v>0</v>
      </c>
      <c r="AF12" s="762">
        <v>0</v>
      </c>
      <c r="AG12" s="762">
        <v>0</v>
      </c>
      <c r="AH12" s="762">
        <v>0</v>
      </c>
      <c r="AI12" s="525">
        <v>0</v>
      </c>
      <c r="AJ12" s="525">
        <v>0</v>
      </c>
      <c r="AK12" s="625">
        <f t="shared" ref="AK12:AK18" si="4">SUM(AE12:AJ12)</f>
        <v>0</v>
      </c>
      <c r="AL12" s="638">
        <f t="shared" ref="AL12:AL18" si="5">I12+AD12</f>
        <v>18762963</v>
      </c>
      <c r="AM12" s="526">
        <f t="shared" ref="AM12:AM18" si="6">J12+U12</f>
        <v>13919112</v>
      </c>
      <c r="AN12" s="526">
        <f t="shared" ref="AN12:AN18" si="7">Y12</f>
        <v>0</v>
      </c>
      <c r="AO12" s="526">
        <f t="shared" ref="AO12:AQ18" si="8">K12+AA12</f>
        <v>4704660</v>
      </c>
      <c r="AP12" s="526">
        <f t="shared" si="8"/>
        <v>139191</v>
      </c>
      <c r="AQ12" s="526">
        <f t="shared" si="8"/>
        <v>0</v>
      </c>
      <c r="AR12" s="625">
        <f t="shared" ref="AR12:AR18" si="9">N12+AK12</f>
        <v>24</v>
      </c>
    </row>
    <row r="13" spans="1:44" ht="12" customHeight="1" x14ac:dyDescent="0.25">
      <c r="A13" s="205">
        <v>1</v>
      </c>
      <c r="B13" s="293">
        <v>5490</v>
      </c>
      <c r="C13" s="293">
        <v>600099474</v>
      </c>
      <c r="D13" s="293">
        <v>71173854</v>
      </c>
      <c r="E13" s="294" t="s">
        <v>437</v>
      </c>
      <c r="F13" s="293">
        <v>3111</v>
      </c>
      <c r="G13" s="256" t="s">
        <v>279</v>
      </c>
      <c r="H13" s="210" t="s">
        <v>262</v>
      </c>
      <c r="I13" s="586">
        <f t="shared" ref="I13:I76" si="10">SUM(J13:M13)</f>
        <v>2342382</v>
      </c>
      <c r="J13" s="490">
        <v>1737672</v>
      </c>
      <c r="K13" s="55">
        <f t="shared" ref="K13:K76" si="11">ROUND(J13*33.8%,0)</f>
        <v>587333</v>
      </c>
      <c r="L13" s="55">
        <f t="shared" ref="L13:L76" si="12">ROUND(J13*1%,0)</f>
        <v>17377</v>
      </c>
      <c r="M13" s="490">
        <v>0</v>
      </c>
      <c r="N13" s="752">
        <v>4</v>
      </c>
      <c r="O13" s="327">
        <f t="shared" si="0"/>
        <v>0</v>
      </c>
      <c r="P13" s="578">
        <v>0</v>
      </c>
      <c r="Q13" s="325">
        <v>0</v>
      </c>
      <c r="R13" s="325">
        <v>0</v>
      </c>
      <c r="S13" s="325">
        <v>0</v>
      </c>
      <c r="T13" s="325">
        <v>0</v>
      </c>
      <c r="U13" s="492">
        <f t="shared" si="1"/>
        <v>0</v>
      </c>
      <c r="V13" s="325">
        <v>0</v>
      </c>
      <c r="W13" s="325">
        <v>0</v>
      </c>
      <c r="X13" s="325">
        <v>0</v>
      </c>
      <c r="Y13" s="492">
        <f t="shared" ref="Y13:Y18" si="13">V13+W13+X13</f>
        <v>0</v>
      </c>
      <c r="Z13" s="492">
        <f t="shared" ref="Z13:Z18" si="14">U13+Y13</f>
        <v>0</v>
      </c>
      <c r="AA13" s="494">
        <f t="shared" ref="AA13:AA18" si="15">ROUND((U13+Y13)*33.8%,0)</f>
        <v>0</v>
      </c>
      <c r="AB13" s="494">
        <f t="shared" si="2"/>
        <v>0</v>
      </c>
      <c r="AC13" s="492">
        <v>0</v>
      </c>
      <c r="AD13" s="789">
        <f t="shared" si="3"/>
        <v>0</v>
      </c>
      <c r="AE13" s="851">
        <v>0</v>
      </c>
      <c r="AF13" s="764">
        <v>0</v>
      </c>
      <c r="AG13" s="763">
        <v>0</v>
      </c>
      <c r="AH13" s="763">
        <v>0</v>
      </c>
      <c r="AI13" s="326">
        <v>0</v>
      </c>
      <c r="AJ13" s="326">
        <v>0</v>
      </c>
      <c r="AK13" s="626">
        <f t="shared" si="4"/>
        <v>0</v>
      </c>
      <c r="AL13" s="696">
        <f t="shared" si="5"/>
        <v>2342382</v>
      </c>
      <c r="AM13" s="492">
        <f t="shared" si="6"/>
        <v>1737672</v>
      </c>
      <c r="AN13" s="492">
        <f t="shared" si="7"/>
        <v>0</v>
      </c>
      <c r="AO13" s="492">
        <f t="shared" si="8"/>
        <v>587333</v>
      </c>
      <c r="AP13" s="492">
        <f t="shared" si="8"/>
        <v>17377</v>
      </c>
      <c r="AQ13" s="492">
        <f t="shared" si="8"/>
        <v>0</v>
      </c>
      <c r="AR13" s="626">
        <f t="shared" si="9"/>
        <v>4</v>
      </c>
    </row>
    <row r="14" spans="1:44" ht="12.95" customHeight="1" x14ac:dyDescent="0.25">
      <c r="A14" s="205">
        <v>1</v>
      </c>
      <c r="B14" s="143">
        <v>5490</v>
      </c>
      <c r="C14" s="293">
        <v>600099474</v>
      </c>
      <c r="D14" s="143">
        <v>71173854</v>
      </c>
      <c r="E14" s="295" t="s">
        <v>437</v>
      </c>
      <c r="F14" s="143">
        <v>3114</v>
      </c>
      <c r="G14" s="256" t="s">
        <v>511</v>
      </c>
      <c r="H14" s="210" t="s">
        <v>262</v>
      </c>
      <c r="I14" s="586">
        <f t="shared" si="10"/>
        <v>6344228</v>
      </c>
      <c r="J14" s="490">
        <v>4706400</v>
      </c>
      <c r="K14" s="55">
        <f>ROUND(J14*33.8%,0)+1</f>
        <v>1590764</v>
      </c>
      <c r="L14" s="55">
        <f t="shared" si="12"/>
        <v>47064</v>
      </c>
      <c r="M14" s="490">
        <v>0</v>
      </c>
      <c r="N14" s="752">
        <v>6</v>
      </c>
      <c r="O14" s="327">
        <f t="shared" si="0"/>
        <v>0</v>
      </c>
      <c r="P14" s="578">
        <v>0</v>
      </c>
      <c r="Q14" s="325">
        <v>0</v>
      </c>
      <c r="R14" s="325">
        <v>0</v>
      </c>
      <c r="S14" s="325">
        <v>0</v>
      </c>
      <c r="T14" s="325">
        <v>0</v>
      </c>
      <c r="U14" s="492">
        <f t="shared" si="1"/>
        <v>0</v>
      </c>
      <c r="V14" s="325">
        <v>0</v>
      </c>
      <c r="W14" s="325">
        <v>0</v>
      </c>
      <c r="X14" s="325">
        <v>0</v>
      </c>
      <c r="Y14" s="492">
        <f t="shared" si="13"/>
        <v>0</v>
      </c>
      <c r="Z14" s="492">
        <f t="shared" si="14"/>
        <v>0</v>
      </c>
      <c r="AA14" s="494">
        <f t="shared" si="15"/>
        <v>0</v>
      </c>
      <c r="AB14" s="494">
        <f t="shared" si="2"/>
        <v>0</v>
      </c>
      <c r="AC14" s="492">
        <v>0</v>
      </c>
      <c r="AD14" s="789">
        <f t="shared" si="3"/>
        <v>0</v>
      </c>
      <c r="AE14" s="851">
        <v>0</v>
      </c>
      <c r="AF14" s="764">
        <v>0</v>
      </c>
      <c r="AG14" s="763">
        <v>0</v>
      </c>
      <c r="AH14" s="763">
        <v>0</v>
      </c>
      <c r="AI14" s="326">
        <v>0</v>
      </c>
      <c r="AJ14" s="326">
        <v>0</v>
      </c>
      <c r="AK14" s="626">
        <f t="shared" si="4"/>
        <v>0</v>
      </c>
      <c r="AL14" s="696">
        <f t="shared" si="5"/>
        <v>6344228</v>
      </c>
      <c r="AM14" s="492">
        <f t="shared" si="6"/>
        <v>4706400</v>
      </c>
      <c r="AN14" s="492">
        <f t="shared" si="7"/>
        <v>0</v>
      </c>
      <c r="AO14" s="492">
        <f t="shared" si="8"/>
        <v>1590764</v>
      </c>
      <c r="AP14" s="492">
        <f t="shared" si="8"/>
        <v>47064</v>
      </c>
      <c r="AQ14" s="492">
        <f t="shared" si="8"/>
        <v>0</v>
      </c>
      <c r="AR14" s="626">
        <f t="shared" si="9"/>
        <v>6</v>
      </c>
    </row>
    <row r="15" spans="1:44" ht="12.95" customHeight="1" x14ac:dyDescent="0.25">
      <c r="A15" s="205">
        <v>1</v>
      </c>
      <c r="B15" s="293">
        <v>5490</v>
      </c>
      <c r="C15" s="293">
        <v>600099474</v>
      </c>
      <c r="D15" s="293">
        <v>71173854</v>
      </c>
      <c r="E15" s="294" t="s">
        <v>437</v>
      </c>
      <c r="F15" s="143">
        <v>3114</v>
      </c>
      <c r="G15" s="248" t="s">
        <v>278</v>
      </c>
      <c r="H15" s="210" t="s">
        <v>263</v>
      </c>
      <c r="I15" s="586">
        <f t="shared" si="10"/>
        <v>0</v>
      </c>
      <c r="J15" s="490">
        <v>0</v>
      </c>
      <c r="K15" s="55">
        <f t="shared" si="11"/>
        <v>0</v>
      </c>
      <c r="L15" s="55">
        <f t="shared" si="12"/>
        <v>0</v>
      </c>
      <c r="M15" s="490">
        <v>0</v>
      </c>
      <c r="N15" s="752">
        <v>0</v>
      </c>
      <c r="O15" s="327">
        <f t="shared" si="0"/>
        <v>0</v>
      </c>
      <c r="P15" s="578">
        <v>926146</v>
      </c>
      <c r="Q15" s="325">
        <v>0</v>
      </c>
      <c r="R15" s="325">
        <v>0</v>
      </c>
      <c r="S15" s="325">
        <v>0</v>
      </c>
      <c r="T15" s="325">
        <v>0</v>
      </c>
      <c r="U15" s="492">
        <f t="shared" si="1"/>
        <v>926146</v>
      </c>
      <c r="V15" s="325">
        <v>0</v>
      </c>
      <c r="W15" s="325">
        <v>0</v>
      </c>
      <c r="X15" s="325">
        <v>0</v>
      </c>
      <c r="Y15" s="492">
        <f t="shared" si="13"/>
        <v>0</v>
      </c>
      <c r="Z15" s="492">
        <f t="shared" si="14"/>
        <v>926146</v>
      </c>
      <c r="AA15" s="494">
        <f t="shared" si="15"/>
        <v>313037</v>
      </c>
      <c r="AB15" s="494">
        <f t="shared" si="2"/>
        <v>9261</v>
      </c>
      <c r="AC15" s="492">
        <v>0</v>
      </c>
      <c r="AD15" s="789">
        <f t="shared" si="3"/>
        <v>1248444</v>
      </c>
      <c r="AE15" s="851">
        <v>0</v>
      </c>
      <c r="AF15" s="764">
        <v>2.25</v>
      </c>
      <c r="AG15" s="763">
        <v>0</v>
      </c>
      <c r="AH15" s="763">
        <v>0</v>
      </c>
      <c r="AI15" s="326">
        <v>0</v>
      </c>
      <c r="AJ15" s="326">
        <v>0</v>
      </c>
      <c r="AK15" s="626">
        <f t="shared" si="4"/>
        <v>2.25</v>
      </c>
      <c r="AL15" s="696">
        <f t="shared" si="5"/>
        <v>1248444</v>
      </c>
      <c r="AM15" s="492">
        <f t="shared" si="6"/>
        <v>926146</v>
      </c>
      <c r="AN15" s="492">
        <f t="shared" si="7"/>
        <v>0</v>
      </c>
      <c r="AO15" s="492">
        <f t="shared" si="8"/>
        <v>313037</v>
      </c>
      <c r="AP15" s="492">
        <f t="shared" si="8"/>
        <v>9261</v>
      </c>
      <c r="AQ15" s="492">
        <f t="shared" si="8"/>
        <v>0</v>
      </c>
      <c r="AR15" s="626">
        <f t="shared" si="9"/>
        <v>2.25</v>
      </c>
    </row>
    <row r="16" spans="1:44" ht="12.95" customHeight="1" x14ac:dyDescent="0.25">
      <c r="A16" s="205">
        <v>1</v>
      </c>
      <c r="B16" s="143">
        <v>5490</v>
      </c>
      <c r="C16" s="293">
        <v>600099474</v>
      </c>
      <c r="D16" s="143">
        <v>71173854</v>
      </c>
      <c r="E16" s="295" t="s">
        <v>437</v>
      </c>
      <c r="F16" s="143">
        <v>3114</v>
      </c>
      <c r="G16" s="256" t="s">
        <v>279</v>
      </c>
      <c r="H16" s="210" t="s">
        <v>262</v>
      </c>
      <c r="I16" s="586">
        <f t="shared" si="10"/>
        <v>3302756</v>
      </c>
      <c r="J16" s="490">
        <v>2450116</v>
      </c>
      <c r="K16" s="55">
        <f t="shared" si="11"/>
        <v>828139</v>
      </c>
      <c r="L16" s="55">
        <f t="shared" si="12"/>
        <v>24501</v>
      </c>
      <c r="M16" s="490">
        <v>0</v>
      </c>
      <c r="N16" s="752">
        <v>5.7222</v>
      </c>
      <c r="O16" s="327">
        <f t="shared" si="0"/>
        <v>0</v>
      </c>
      <c r="P16" s="578">
        <v>0</v>
      </c>
      <c r="Q16" s="325">
        <v>0</v>
      </c>
      <c r="R16" s="325">
        <v>0</v>
      </c>
      <c r="S16" s="325">
        <v>0</v>
      </c>
      <c r="T16" s="325">
        <v>0</v>
      </c>
      <c r="U16" s="492">
        <f t="shared" si="1"/>
        <v>0</v>
      </c>
      <c r="V16" s="325">
        <v>0</v>
      </c>
      <c r="W16" s="325">
        <v>0</v>
      </c>
      <c r="X16" s="325">
        <v>0</v>
      </c>
      <c r="Y16" s="492">
        <f t="shared" si="13"/>
        <v>0</v>
      </c>
      <c r="Z16" s="492">
        <f t="shared" si="14"/>
        <v>0</v>
      </c>
      <c r="AA16" s="494">
        <f t="shared" si="15"/>
        <v>0</v>
      </c>
      <c r="AB16" s="494">
        <f t="shared" si="2"/>
        <v>0</v>
      </c>
      <c r="AC16" s="492">
        <v>0</v>
      </c>
      <c r="AD16" s="789">
        <f t="shared" si="3"/>
        <v>0</v>
      </c>
      <c r="AE16" s="851">
        <v>0</v>
      </c>
      <c r="AF16" s="764">
        <v>0</v>
      </c>
      <c r="AG16" s="763">
        <v>0</v>
      </c>
      <c r="AH16" s="763">
        <v>0</v>
      </c>
      <c r="AI16" s="326">
        <v>0</v>
      </c>
      <c r="AJ16" s="326">
        <v>0</v>
      </c>
      <c r="AK16" s="626">
        <f t="shared" si="4"/>
        <v>0</v>
      </c>
      <c r="AL16" s="696">
        <f t="shared" si="5"/>
        <v>3302756</v>
      </c>
      <c r="AM16" s="492">
        <f t="shared" si="6"/>
        <v>2450116</v>
      </c>
      <c r="AN16" s="492">
        <f t="shared" si="7"/>
        <v>0</v>
      </c>
      <c r="AO16" s="492">
        <f t="shared" si="8"/>
        <v>828139</v>
      </c>
      <c r="AP16" s="492">
        <f t="shared" si="8"/>
        <v>24501</v>
      </c>
      <c r="AQ16" s="492">
        <f t="shared" si="8"/>
        <v>0</v>
      </c>
      <c r="AR16" s="626">
        <f t="shared" si="9"/>
        <v>5.7222</v>
      </c>
    </row>
    <row r="17" spans="1:44" ht="12.95" customHeight="1" x14ac:dyDescent="0.25">
      <c r="A17" s="205">
        <v>1</v>
      </c>
      <c r="B17" s="293">
        <v>5490</v>
      </c>
      <c r="C17" s="293">
        <v>600099474</v>
      </c>
      <c r="D17" s="293">
        <v>71173854</v>
      </c>
      <c r="E17" s="294" t="s">
        <v>797</v>
      </c>
      <c r="F17" s="143">
        <v>3143</v>
      </c>
      <c r="G17" s="248" t="s">
        <v>794</v>
      </c>
      <c r="H17" s="210" t="s">
        <v>262</v>
      </c>
      <c r="I17" s="586">
        <f t="shared" si="10"/>
        <v>1067923</v>
      </c>
      <c r="J17" s="490">
        <v>792228</v>
      </c>
      <c r="K17" s="55">
        <f t="shared" si="11"/>
        <v>267773</v>
      </c>
      <c r="L17" s="55">
        <f t="shared" si="12"/>
        <v>7922</v>
      </c>
      <c r="M17" s="490">
        <v>0</v>
      </c>
      <c r="N17" s="752">
        <v>1.5</v>
      </c>
      <c r="O17" s="327">
        <f t="shared" si="0"/>
        <v>0</v>
      </c>
      <c r="P17" s="578">
        <v>0</v>
      </c>
      <c r="Q17" s="325">
        <v>0</v>
      </c>
      <c r="R17" s="325">
        <v>0</v>
      </c>
      <c r="S17" s="325">
        <v>0</v>
      </c>
      <c r="T17" s="325">
        <v>0</v>
      </c>
      <c r="U17" s="492">
        <f t="shared" si="1"/>
        <v>0</v>
      </c>
      <c r="V17" s="325">
        <v>0</v>
      </c>
      <c r="W17" s="325">
        <v>0</v>
      </c>
      <c r="X17" s="325">
        <v>0</v>
      </c>
      <c r="Y17" s="492">
        <f t="shared" si="13"/>
        <v>0</v>
      </c>
      <c r="Z17" s="492">
        <f t="shared" si="14"/>
        <v>0</v>
      </c>
      <c r="AA17" s="494">
        <f t="shared" si="15"/>
        <v>0</v>
      </c>
      <c r="AB17" s="494">
        <f t="shared" si="2"/>
        <v>0</v>
      </c>
      <c r="AC17" s="492">
        <v>0</v>
      </c>
      <c r="AD17" s="789">
        <f t="shared" si="3"/>
        <v>0</v>
      </c>
      <c r="AE17" s="851">
        <v>0</v>
      </c>
      <c r="AF17" s="764">
        <v>0</v>
      </c>
      <c r="AG17" s="763">
        <v>0</v>
      </c>
      <c r="AH17" s="763">
        <v>0</v>
      </c>
      <c r="AI17" s="326">
        <v>0</v>
      </c>
      <c r="AJ17" s="326">
        <v>0</v>
      </c>
      <c r="AK17" s="626">
        <f t="shared" si="4"/>
        <v>0</v>
      </c>
      <c r="AL17" s="696">
        <f t="shared" si="5"/>
        <v>1067923</v>
      </c>
      <c r="AM17" s="492">
        <f t="shared" si="6"/>
        <v>792228</v>
      </c>
      <c r="AN17" s="492">
        <f t="shared" si="7"/>
        <v>0</v>
      </c>
      <c r="AO17" s="492">
        <f t="shared" si="8"/>
        <v>267773</v>
      </c>
      <c r="AP17" s="492">
        <f t="shared" si="8"/>
        <v>7922</v>
      </c>
      <c r="AQ17" s="492">
        <f t="shared" si="8"/>
        <v>0</v>
      </c>
      <c r="AR17" s="626">
        <f t="shared" si="9"/>
        <v>1.5</v>
      </c>
    </row>
    <row r="18" spans="1:44" ht="12.95" customHeight="1" x14ac:dyDescent="0.25">
      <c r="A18" s="205">
        <v>1</v>
      </c>
      <c r="B18" s="293">
        <v>5490</v>
      </c>
      <c r="C18" s="293">
        <v>600099474</v>
      </c>
      <c r="D18" s="293">
        <v>71173854</v>
      </c>
      <c r="E18" s="294" t="s">
        <v>437</v>
      </c>
      <c r="F18" s="143">
        <v>3143</v>
      </c>
      <c r="G18" s="248" t="s">
        <v>771</v>
      </c>
      <c r="H18" s="210" t="s">
        <v>262</v>
      </c>
      <c r="I18" s="586">
        <f t="shared" si="10"/>
        <v>646390</v>
      </c>
      <c r="J18" s="490">
        <v>479518</v>
      </c>
      <c r="K18" s="55">
        <f t="shared" si="11"/>
        <v>162077</v>
      </c>
      <c r="L18" s="55">
        <f t="shared" si="12"/>
        <v>4795</v>
      </c>
      <c r="M18" s="490">
        <v>0</v>
      </c>
      <c r="N18" s="752">
        <v>1.1667000000000001</v>
      </c>
      <c r="O18" s="327">
        <f t="shared" si="0"/>
        <v>0</v>
      </c>
      <c r="P18" s="578">
        <v>0</v>
      </c>
      <c r="Q18" s="325">
        <v>0</v>
      </c>
      <c r="R18" s="325">
        <v>0</v>
      </c>
      <c r="S18" s="325">
        <v>0</v>
      </c>
      <c r="T18" s="325">
        <v>0</v>
      </c>
      <c r="U18" s="492">
        <f t="shared" si="1"/>
        <v>0</v>
      </c>
      <c r="V18" s="325">
        <v>0</v>
      </c>
      <c r="W18" s="325">
        <v>0</v>
      </c>
      <c r="X18" s="325">
        <v>0</v>
      </c>
      <c r="Y18" s="492">
        <f t="shared" si="13"/>
        <v>0</v>
      </c>
      <c r="Z18" s="492">
        <f t="shared" si="14"/>
        <v>0</v>
      </c>
      <c r="AA18" s="494">
        <f t="shared" si="15"/>
        <v>0</v>
      </c>
      <c r="AB18" s="494">
        <f t="shared" si="2"/>
        <v>0</v>
      </c>
      <c r="AC18" s="492">
        <v>0</v>
      </c>
      <c r="AD18" s="789">
        <f t="shared" si="3"/>
        <v>0</v>
      </c>
      <c r="AE18" s="851">
        <v>0</v>
      </c>
      <c r="AF18" s="764">
        <v>0</v>
      </c>
      <c r="AG18" s="763">
        <v>0</v>
      </c>
      <c r="AH18" s="763">
        <v>0</v>
      </c>
      <c r="AI18" s="326">
        <v>0</v>
      </c>
      <c r="AJ18" s="326">
        <v>0</v>
      </c>
      <c r="AK18" s="626">
        <f t="shared" si="4"/>
        <v>0</v>
      </c>
      <c r="AL18" s="696">
        <f t="shared" si="5"/>
        <v>646390</v>
      </c>
      <c r="AM18" s="492">
        <f t="shared" si="6"/>
        <v>479518</v>
      </c>
      <c r="AN18" s="492">
        <f t="shared" si="7"/>
        <v>0</v>
      </c>
      <c r="AO18" s="492">
        <f t="shared" si="8"/>
        <v>162077</v>
      </c>
      <c r="AP18" s="492">
        <f t="shared" si="8"/>
        <v>4795</v>
      </c>
      <c r="AQ18" s="492">
        <f t="shared" si="8"/>
        <v>0</v>
      </c>
      <c r="AR18" s="626">
        <f t="shared" si="9"/>
        <v>1.1667000000000001</v>
      </c>
    </row>
    <row r="19" spans="1:44" ht="12.95" customHeight="1" x14ac:dyDescent="0.25">
      <c r="A19" s="144">
        <v>1</v>
      </c>
      <c r="B19" s="41">
        <v>5490</v>
      </c>
      <c r="C19" s="41">
        <v>600099474</v>
      </c>
      <c r="D19" s="41">
        <v>71173854</v>
      </c>
      <c r="E19" s="297" t="s">
        <v>438</v>
      </c>
      <c r="F19" s="41"/>
      <c r="G19" s="297"/>
      <c r="H19" s="128"/>
      <c r="I19" s="666">
        <f t="shared" ref="I19:AR19" si="16">SUM(I12:I18)</f>
        <v>32466642</v>
      </c>
      <c r="J19" s="571">
        <f t="shared" si="16"/>
        <v>24085046</v>
      </c>
      <c r="K19" s="366">
        <f t="shared" si="16"/>
        <v>8140746</v>
      </c>
      <c r="L19" s="366">
        <f t="shared" si="16"/>
        <v>240850</v>
      </c>
      <c r="M19" s="571">
        <f t="shared" si="16"/>
        <v>0</v>
      </c>
      <c r="N19" s="765">
        <f t="shared" si="16"/>
        <v>42.3889</v>
      </c>
      <c r="O19" s="671">
        <f t="shared" si="16"/>
        <v>0</v>
      </c>
      <c r="P19" s="465">
        <f t="shared" si="16"/>
        <v>926146</v>
      </c>
      <c r="Q19" s="366">
        <f t="shared" si="16"/>
        <v>0</v>
      </c>
      <c r="R19" s="366">
        <f t="shared" si="16"/>
        <v>0</v>
      </c>
      <c r="S19" s="366">
        <f t="shared" si="16"/>
        <v>0</v>
      </c>
      <c r="T19" s="366">
        <f t="shared" si="16"/>
        <v>0</v>
      </c>
      <c r="U19" s="366">
        <f t="shared" si="16"/>
        <v>926146</v>
      </c>
      <c r="V19" s="366">
        <f t="shared" si="16"/>
        <v>0</v>
      </c>
      <c r="W19" s="366">
        <f t="shared" si="16"/>
        <v>0</v>
      </c>
      <c r="X19" s="366">
        <f t="shared" si="16"/>
        <v>0</v>
      </c>
      <c r="Y19" s="366">
        <f t="shared" si="16"/>
        <v>0</v>
      </c>
      <c r="Z19" s="366">
        <f t="shared" si="16"/>
        <v>926146</v>
      </c>
      <c r="AA19" s="366">
        <f t="shared" si="16"/>
        <v>313037</v>
      </c>
      <c r="AB19" s="366">
        <f t="shared" si="16"/>
        <v>9261</v>
      </c>
      <c r="AC19" s="366">
        <f t="shared" si="16"/>
        <v>0</v>
      </c>
      <c r="AD19" s="844">
        <f t="shared" si="16"/>
        <v>1248444</v>
      </c>
      <c r="AE19" s="852">
        <f t="shared" si="16"/>
        <v>0</v>
      </c>
      <c r="AF19" s="766">
        <f t="shared" si="16"/>
        <v>2.25</v>
      </c>
      <c r="AG19" s="766">
        <f t="shared" si="16"/>
        <v>0</v>
      </c>
      <c r="AH19" s="766">
        <f t="shared" si="16"/>
        <v>0</v>
      </c>
      <c r="AI19" s="367">
        <f t="shared" si="16"/>
        <v>0</v>
      </c>
      <c r="AJ19" s="367">
        <f t="shared" si="16"/>
        <v>0</v>
      </c>
      <c r="AK19" s="298">
        <f t="shared" si="16"/>
        <v>2.25</v>
      </c>
      <c r="AL19" s="671">
        <f t="shared" si="16"/>
        <v>33715086</v>
      </c>
      <c r="AM19" s="366">
        <f t="shared" si="16"/>
        <v>25011192</v>
      </c>
      <c r="AN19" s="366">
        <f t="shared" si="16"/>
        <v>0</v>
      </c>
      <c r="AO19" s="366">
        <f t="shared" si="16"/>
        <v>8453783</v>
      </c>
      <c r="AP19" s="366">
        <f t="shared" si="16"/>
        <v>250111</v>
      </c>
      <c r="AQ19" s="366">
        <f t="shared" si="16"/>
        <v>0</v>
      </c>
      <c r="AR19" s="298">
        <f t="shared" si="16"/>
        <v>44.6389</v>
      </c>
    </row>
    <row r="20" spans="1:44" ht="12.95" customHeight="1" x14ac:dyDescent="0.25">
      <c r="A20" s="205">
        <v>2</v>
      </c>
      <c r="B20" s="299">
        <v>5460</v>
      </c>
      <c r="C20" s="299">
        <v>600098621</v>
      </c>
      <c r="D20" s="299">
        <v>72743549</v>
      </c>
      <c r="E20" s="142" t="s">
        <v>439</v>
      </c>
      <c r="F20" s="299">
        <v>3111</v>
      </c>
      <c r="G20" s="296" t="s">
        <v>290</v>
      </c>
      <c r="H20" s="300" t="s">
        <v>262</v>
      </c>
      <c r="I20" s="586">
        <f t="shared" si="10"/>
        <v>6475490</v>
      </c>
      <c r="J20" s="490">
        <v>4803776</v>
      </c>
      <c r="K20" s="55">
        <f t="shared" si="11"/>
        <v>1623676</v>
      </c>
      <c r="L20" s="55">
        <f t="shared" si="12"/>
        <v>48038</v>
      </c>
      <c r="M20" s="490">
        <v>0</v>
      </c>
      <c r="N20" s="752">
        <v>8.0960000000000001</v>
      </c>
      <c r="O20" s="555">
        <f>V20*-1</f>
        <v>0</v>
      </c>
      <c r="P20" s="578">
        <v>0</v>
      </c>
      <c r="Q20" s="325">
        <v>0</v>
      </c>
      <c r="R20" s="325">
        <v>0</v>
      </c>
      <c r="S20" s="325">
        <v>0</v>
      </c>
      <c r="T20" s="325">
        <v>0</v>
      </c>
      <c r="U20" s="492">
        <f>O20+P20+Q20+R20+S20+T20</f>
        <v>0</v>
      </c>
      <c r="V20" s="325">
        <v>0</v>
      </c>
      <c r="W20" s="325">
        <v>0</v>
      </c>
      <c r="X20" s="325">
        <v>0</v>
      </c>
      <c r="Y20" s="492">
        <f t="shared" ref="Y20:Y21" si="17">V20+W20+X20</f>
        <v>0</v>
      </c>
      <c r="Z20" s="492">
        <f t="shared" ref="Z20:Z21" si="18">U20+Y20</f>
        <v>0</v>
      </c>
      <c r="AA20" s="494">
        <f t="shared" ref="AA20:AA21" si="19">ROUND((U20+Y20)*33.8%,0)</f>
        <v>0</v>
      </c>
      <c r="AB20" s="494">
        <f t="shared" ref="AB20:AB21" si="20">ROUND(U20*1%,0)</f>
        <v>0</v>
      </c>
      <c r="AC20" s="492">
        <v>0</v>
      </c>
      <c r="AD20" s="789">
        <f t="shared" ref="AD20:AD21" si="21">Z20+AA20+AB20+AC20</f>
        <v>0</v>
      </c>
      <c r="AE20" s="851">
        <v>0</v>
      </c>
      <c r="AF20" s="764">
        <v>0</v>
      </c>
      <c r="AG20" s="763">
        <v>0</v>
      </c>
      <c r="AH20" s="763">
        <v>0</v>
      </c>
      <c r="AI20" s="326">
        <v>0</v>
      </c>
      <c r="AJ20" s="326">
        <v>0</v>
      </c>
      <c r="AK20" s="626">
        <f>SUM(AE20:AJ20)</f>
        <v>0</v>
      </c>
      <c r="AL20" s="696">
        <f>I20+AD20</f>
        <v>6475490</v>
      </c>
      <c r="AM20" s="492">
        <f>J20+U20</f>
        <v>4803776</v>
      </c>
      <c r="AN20" s="492">
        <f>Y20</f>
        <v>0</v>
      </c>
      <c r="AO20" s="492">
        <f t="shared" ref="AO20:AQ21" si="22">K20+AA20</f>
        <v>1623676</v>
      </c>
      <c r="AP20" s="492">
        <f t="shared" si="22"/>
        <v>48038</v>
      </c>
      <c r="AQ20" s="492">
        <f t="shared" si="22"/>
        <v>0</v>
      </c>
      <c r="AR20" s="626">
        <f>N20+AK20</f>
        <v>8.0960000000000001</v>
      </c>
    </row>
    <row r="21" spans="1:44" ht="12.95" customHeight="1" x14ac:dyDescent="0.25">
      <c r="A21" s="205">
        <v>2</v>
      </c>
      <c r="B21" s="143">
        <v>5460</v>
      </c>
      <c r="C21" s="143">
        <v>600098621</v>
      </c>
      <c r="D21" s="143">
        <v>72743549</v>
      </c>
      <c r="E21" s="295" t="s">
        <v>439</v>
      </c>
      <c r="F21" s="299">
        <v>3111</v>
      </c>
      <c r="G21" s="248" t="s">
        <v>278</v>
      </c>
      <c r="H21" s="210" t="s">
        <v>263</v>
      </c>
      <c r="I21" s="586">
        <f t="shared" si="10"/>
        <v>0</v>
      </c>
      <c r="J21" s="490">
        <v>0</v>
      </c>
      <c r="K21" s="55">
        <f t="shared" si="11"/>
        <v>0</v>
      </c>
      <c r="L21" s="55">
        <f t="shared" si="12"/>
        <v>0</v>
      </c>
      <c r="M21" s="490">
        <v>0</v>
      </c>
      <c r="N21" s="752">
        <v>0</v>
      </c>
      <c r="O21" s="327">
        <f>V21*-1</f>
        <v>0</v>
      </c>
      <c r="P21" s="578">
        <v>1190541</v>
      </c>
      <c r="Q21" s="325">
        <v>0</v>
      </c>
      <c r="R21" s="325">
        <v>0</v>
      </c>
      <c r="S21" s="325">
        <v>0</v>
      </c>
      <c r="T21" s="325">
        <v>0</v>
      </c>
      <c r="U21" s="492">
        <f>O21+P21+Q21+R21+S21+T21</f>
        <v>1190541</v>
      </c>
      <c r="V21" s="325">
        <v>0</v>
      </c>
      <c r="W21" s="325">
        <v>0</v>
      </c>
      <c r="X21" s="325">
        <v>0</v>
      </c>
      <c r="Y21" s="492">
        <f t="shared" si="17"/>
        <v>0</v>
      </c>
      <c r="Z21" s="492">
        <f t="shared" si="18"/>
        <v>1190541</v>
      </c>
      <c r="AA21" s="494">
        <f t="shared" si="19"/>
        <v>402403</v>
      </c>
      <c r="AB21" s="494">
        <f t="shared" si="20"/>
        <v>11905</v>
      </c>
      <c r="AC21" s="492">
        <v>0</v>
      </c>
      <c r="AD21" s="789">
        <f t="shared" si="21"/>
        <v>1604849</v>
      </c>
      <c r="AE21" s="851">
        <v>0</v>
      </c>
      <c r="AF21" s="764">
        <v>3</v>
      </c>
      <c r="AG21" s="763">
        <v>0</v>
      </c>
      <c r="AH21" s="763">
        <v>0</v>
      </c>
      <c r="AI21" s="326">
        <v>0</v>
      </c>
      <c r="AJ21" s="326">
        <v>0</v>
      </c>
      <c r="AK21" s="626">
        <f>SUM(AE21:AJ21)</f>
        <v>3</v>
      </c>
      <c r="AL21" s="696">
        <f>I21+AD21</f>
        <v>1604849</v>
      </c>
      <c r="AM21" s="492">
        <f>J21+U21</f>
        <v>1190541</v>
      </c>
      <c r="AN21" s="492">
        <f>Y21</f>
        <v>0</v>
      </c>
      <c r="AO21" s="492">
        <f t="shared" si="22"/>
        <v>402403</v>
      </c>
      <c r="AP21" s="492">
        <f t="shared" si="22"/>
        <v>11905</v>
      </c>
      <c r="AQ21" s="492">
        <f t="shared" si="22"/>
        <v>0</v>
      </c>
      <c r="AR21" s="626">
        <f>N21+AK21</f>
        <v>3</v>
      </c>
    </row>
    <row r="22" spans="1:44" ht="12.95" customHeight="1" x14ac:dyDescent="0.25">
      <c r="A22" s="144">
        <v>2</v>
      </c>
      <c r="B22" s="41">
        <v>5460</v>
      </c>
      <c r="C22" s="41">
        <v>600098621</v>
      </c>
      <c r="D22" s="41">
        <v>72743549</v>
      </c>
      <c r="E22" s="297" t="s">
        <v>440</v>
      </c>
      <c r="F22" s="41"/>
      <c r="G22" s="297"/>
      <c r="H22" s="128"/>
      <c r="I22" s="667">
        <f t="shared" ref="I22:AR22" si="23">SUM(I20:I21)</f>
        <v>6475490</v>
      </c>
      <c r="J22" s="572">
        <f t="shared" si="23"/>
        <v>4803776</v>
      </c>
      <c r="K22" s="351">
        <f t="shared" si="23"/>
        <v>1623676</v>
      </c>
      <c r="L22" s="351">
        <f t="shared" si="23"/>
        <v>48038</v>
      </c>
      <c r="M22" s="572">
        <f t="shared" si="23"/>
        <v>0</v>
      </c>
      <c r="N22" s="767">
        <f t="shared" si="23"/>
        <v>8.0960000000000001</v>
      </c>
      <c r="O22" s="672">
        <f t="shared" si="23"/>
        <v>0</v>
      </c>
      <c r="P22" s="466">
        <f t="shared" si="23"/>
        <v>1190541</v>
      </c>
      <c r="Q22" s="351">
        <f t="shared" si="23"/>
        <v>0</v>
      </c>
      <c r="R22" s="351">
        <f t="shared" si="23"/>
        <v>0</v>
      </c>
      <c r="S22" s="351">
        <f t="shared" si="23"/>
        <v>0</v>
      </c>
      <c r="T22" s="351">
        <f t="shared" si="23"/>
        <v>0</v>
      </c>
      <c r="U22" s="351">
        <f t="shared" si="23"/>
        <v>1190541</v>
      </c>
      <c r="V22" s="351">
        <f t="shared" si="23"/>
        <v>0</v>
      </c>
      <c r="W22" s="351">
        <f t="shared" si="23"/>
        <v>0</v>
      </c>
      <c r="X22" s="351">
        <f t="shared" si="23"/>
        <v>0</v>
      </c>
      <c r="Y22" s="351">
        <f t="shared" si="23"/>
        <v>0</v>
      </c>
      <c r="Z22" s="351">
        <f t="shared" si="23"/>
        <v>1190541</v>
      </c>
      <c r="AA22" s="351">
        <f t="shared" si="23"/>
        <v>402403</v>
      </c>
      <c r="AB22" s="351">
        <f t="shared" si="23"/>
        <v>11905</v>
      </c>
      <c r="AC22" s="351">
        <f t="shared" si="23"/>
        <v>0</v>
      </c>
      <c r="AD22" s="845">
        <f t="shared" si="23"/>
        <v>1604849</v>
      </c>
      <c r="AE22" s="853">
        <f t="shared" si="23"/>
        <v>0</v>
      </c>
      <c r="AF22" s="768">
        <f t="shared" si="23"/>
        <v>3</v>
      </c>
      <c r="AG22" s="768">
        <f t="shared" si="23"/>
        <v>0</v>
      </c>
      <c r="AH22" s="768">
        <f t="shared" si="23"/>
        <v>0</v>
      </c>
      <c r="AI22" s="352">
        <f t="shared" si="23"/>
        <v>0</v>
      </c>
      <c r="AJ22" s="352">
        <f t="shared" si="23"/>
        <v>0</v>
      </c>
      <c r="AK22" s="204">
        <f t="shared" si="23"/>
        <v>3</v>
      </c>
      <c r="AL22" s="672">
        <f t="shared" si="23"/>
        <v>8080339</v>
      </c>
      <c r="AM22" s="351">
        <f t="shared" si="23"/>
        <v>5994317</v>
      </c>
      <c r="AN22" s="351">
        <f t="shared" si="23"/>
        <v>0</v>
      </c>
      <c r="AO22" s="351">
        <f t="shared" si="23"/>
        <v>2026079</v>
      </c>
      <c r="AP22" s="351">
        <f t="shared" si="23"/>
        <v>59943</v>
      </c>
      <c r="AQ22" s="351">
        <f t="shared" si="23"/>
        <v>0</v>
      </c>
      <c r="AR22" s="204">
        <f t="shared" si="23"/>
        <v>11.096</v>
      </c>
    </row>
    <row r="23" spans="1:44" ht="12.95" customHeight="1" x14ac:dyDescent="0.25">
      <c r="A23" s="205">
        <v>4</v>
      </c>
      <c r="B23" s="143">
        <v>5464</v>
      </c>
      <c r="C23" s="143">
        <v>600098869</v>
      </c>
      <c r="D23" s="143">
        <v>72743719</v>
      </c>
      <c r="E23" s="303" t="s">
        <v>441</v>
      </c>
      <c r="F23" s="304">
        <v>3111</v>
      </c>
      <c r="G23" s="296" t="s">
        <v>290</v>
      </c>
      <c r="H23" s="210" t="s">
        <v>262</v>
      </c>
      <c r="I23" s="586">
        <f t="shared" si="10"/>
        <v>4968434</v>
      </c>
      <c r="J23" s="490">
        <v>3685782</v>
      </c>
      <c r="K23" s="55">
        <f t="shared" si="11"/>
        <v>1245794</v>
      </c>
      <c r="L23" s="55">
        <f t="shared" si="12"/>
        <v>36858</v>
      </c>
      <c r="M23" s="490">
        <v>0</v>
      </c>
      <c r="N23" s="752">
        <v>6</v>
      </c>
      <c r="O23" s="555">
        <f>V23*-1</f>
        <v>-36000</v>
      </c>
      <c r="P23" s="578">
        <v>0</v>
      </c>
      <c r="Q23" s="325">
        <v>0</v>
      </c>
      <c r="R23" s="325">
        <v>0</v>
      </c>
      <c r="S23" s="325">
        <v>0</v>
      </c>
      <c r="T23" s="325">
        <v>0</v>
      </c>
      <c r="U23" s="492">
        <f>O23+P23+Q23+R23+S23+T23</f>
        <v>-36000</v>
      </c>
      <c r="V23" s="325">
        <v>36000</v>
      </c>
      <c r="W23" s="325">
        <v>0</v>
      </c>
      <c r="X23" s="325">
        <v>0</v>
      </c>
      <c r="Y23" s="492">
        <f t="shared" ref="Y23:Y24" si="24">V23+W23+X23</f>
        <v>36000</v>
      </c>
      <c r="Z23" s="492">
        <f t="shared" ref="Z23:Z24" si="25">U23+Y23</f>
        <v>0</v>
      </c>
      <c r="AA23" s="494">
        <f t="shared" ref="AA23:AA24" si="26">ROUND((U23+Y23)*33.8%,0)</f>
        <v>0</v>
      </c>
      <c r="AB23" s="494">
        <f t="shared" ref="AB23:AB24" si="27">ROUND(U23*1%,0)</f>
        <v>-360</v>
      </c>
      <c r="AC23" s="492">
        <v>0</v>
      </c>
      <c r="AD23" s="789">
        <f t="shared" ref="AD23:AD24" si="28">Z23+AA23+AB23+AC23</f>
        <v>-360</v>
      </c>
      <c r="AE23" s="851">
        <v>0</v>
      </c>
      <c r="AF23" s="764">
        <v>0</v>
      </c>
      <c r="AG23" s="763">
        <v>0</v>
      </c>
      <c r="AH23" s="763">
        <v>0</v>
      </c>
      <c r="AI23" s="326">
        <v>0</v>
      </c>
      <c r="AJ23" s="326">
        <v>0</v>
      </c>
      <c r="AK23" s="626">
        <f>SUM(AE23:AJ23)</f>
        <v>0</v>
      </c>
      <c r="AL23" s="696">
        <f>I23+AD23</f>
        <v>4968074</v>
      </c>
      <c r="AM23" s="492">
        <f>J23+U23</f>
        <v>3649782</v>
      </c>
      <c r="AN23" s="492">
        <f>Y23</f>
        <v>36000</v>
      </c>
      <c r="AO23" s="492">
        <f t="shared" ref="AO23:AQ24" si="29">K23+AA23</f>
        <v>1245794</v>
      </c>
      <c r="AP23" s="492">
        <f t="shared" si="29"/>
        <v>36498</v>
      </c>
      <c r="AQ23" s="492">
        <f t="shared" si="29"/>
        <v>0</v>
      </c>
      <c r="AR23" s="626">
        <f>N23+AK23</f>
        <v>6</v>
      </c>
    </row>
    <row r="24" spans="1:44" ht="12.95" customHeight="1" x14ac:dyDescent="0.25">
      <c r="A24" s="205">
        <v>4</v>
      </c>
      <c r="B24" s="143">
        <v>5464</v>
      </c>
      <c r="C24" s="143">
        <v>600098869</v>
      </c>
      <c r="D24" s="143">
        <v>72743719</v>
      </c>
      <c r="E24" s="294" t="s">
        <v>441</v>
      </c>
      <c r="F24" s="304">
        <v>3111</v>
      </c>
      <c r="G24" s="248" t="s">
        <v>278</v>
      </c>
      <c r="H24" s="210" t="s">
        <v>263</v>
      </c>
      <c r="I24" s="586">
        <f t="shared" si="10"/>
        <v>0</v>
      </c>
      <c r="J24" s="490">
        <v>0</v>
      </c>
      <c r="K24" s="55">
        <f t="shared" si="11"/>
        <v>0</v>
      </c>
      <c r="L24" s="55">
        <f t="shared" si="12"/>
        <v>0</v>
      </c>
      <c r="M24" s="490">
        <v>0</v>
      </c>
      <c r="N24" s="752">
        <v>0</v>
      </c>
      <c r="O24" s="327">
        <f>V24*-1</f>
        <v>0</v>
      </c>
      <c r="P24" s="578">
        <v>0</v>
      </c>
      <c r="Q24" s="325">
        <v>0</v>
      </c>
      <c r="R24" s="325">
        <v>0</v>
      </c>
      <c r="S24" s="325">
        <v>0</v>
      </c>
      <c r="T24" s="325">
        <v>0</v>
      </c>
      <c r="U24" s="492">
        <f>O24+P24+Q24+R24+S24+T24</f>
        <v>0</v>
      </c>
      <c r="V24" s="325">
        <v>0</v>
      </c>
      <c r="W24" s="325">
        <v>0</v>
      </c>
      <c r="X24" s="325">
        <v>0</v>
      </c>
      <c r="Y24" s="492">
        <f t="shared" si="24"/>
        <v>0</v>
      </c>
      <c r="Z24" s="492">
        <f t="shared" si="25"/>
        <v>0</v>
      </c>
      <c r="AA24" s="494">
        <f t="shared" si="26"/>
        <v>0</v>
      </c>
      <c r="AB24" s="494">
        <f t="shared" si="27"/>
        <v>0</v>
      </c>
      <c r="AC24" s="492">
        <v>0</v>
      </c>
      <c r="AD24" s="789">
        <f t="shared" si="28"/>
        <v>0</v>
      </c>
      <c r="AE24" s="851">
        <v>0</v>
      </c>
      <c r="AF24" s="764">
        <v>0</v>
      </c>
      <c r="AG24" s="763">
        <v>0</v>
      </c>
      <c r="AH24" s="763">
        <v>0</v>
      </c>
      <c r="AI24" s="326">
        <v>0</v>
      </c>
      <c r="AJ24" s="326">
        <v>0</v>
      </c>
      <c r="AK24" s="626">
        <f>SUM(AE24:AJ24)</f>
        <v>0</v>
      </c>
      <c r="AL24" s="696">
        <f>I24+AD24</f>
        <v>0</v>
      </c>
      <c r="AM24" s="492">
        <f>J24+U24</f>
        <v>0</v>
      </c>
      <c r="AN24" s="492">
        <f>Y24</f>
        <v>0</v>
      </c>
      <c r="AO24" s="492">
        <f t="shared" si="29"/>
        <v>0</v>
      </c>
      <c r="AP24" s="492">
        <f t="shared" si="29"/>
        <v>0</v>
      </c>
      <c r="AQ24" s="492">
        <f t="shared" si="29"/>
        <v>0</v>
      </c>
      <c r="AR24" s="626">
        <f>N24+AK24</f>
        <v>0</v>
      </c>
    </row>
    <row r="25" spans="1:44" ht="12.95" customHeight="1" x14ac:dyDescent="0.25">
      <c r="A25" s="144">
        <v>4</v>
      </c>
      <c r="B25" s="41">
        <v>5464</v>
      </c>
      <c r="C25" s="41">
        <v>600098869</v>
      </c>
      <c r="D25" s="41">
        <v>72743719</v>
      </c>
      <c r="E25" s="306" t="s">
        <v>442</v>
      </c>
      <c r="F25" s="307"/>
      <c r="G25" s="306"/>
      <c r="H25" s="308"/>
      <c r="I25" s="667">
        <f t="shared" ref="I25:AR25" si="30">SUM(I23:I24)</f>
        <v>4968434</v>
      </c>
      <c r="J25" s="572">
        <f t="shared" si="30"/>
        <v>3685782</v>
      </c>
      <c r="K25" s="351">
        <f t="shared" si="30"/>
        <v>1245794</v>
      </c>
      <c r="L25" s="351">
        <f t="shared" si="30"/>
        <v>36858</v>
      </c>
      <c r="M25" s="572">
        <f t="shared" si="30"/>
        <v>0</v>
      </c>
      <c r="N25" s="767">
        <f t="shared" si="30"/>
        <v>6</v>
      </c>
      <c r="O25" s="672">
        <f t="shared" si="30"/>
        <v>-36000</v>
      </c>
      <c r="P25" s="466">
        <f t="shared" si="30"/>
        <v>0</v>
      </c>
      <c r="Q25" s="351">
        <f t="shared" si="30"/>
        <v>0</v>
      </c>
      <c r="R25" s="351">
        <f t="shared" si="30"/>
        <v>0</v>
      </c>
      <c r="S25" s="351">
        <f t="shared" si="30"/>
        <v>0</v>
      </c>
      <c r="T25" s="351">
        <f t="shared" si="30"/>
        <v>0</v>
      </c>
      <c r="U25" s="351">
        <f t="shared" si="30"/>
        <v>-36000</v>
      </c>
      <c r="V25" s="351">
        <f t="shared" si="30"/>
        <v>36000</v>
      </c>
      <c r="W25" s="351">
        <f t="shared" si="30"/>
        <v>0</v>
      </c>
      <c r="X25" s="351">
        <f t="shared" si="30"/>
        <v>0</v>
      </c>
      <c r="Y25" s="351">
        <f t="shared" si="30"/>
        <v>36000</v>
      </c>
      <c r="Z25" s="351">
        <f t="shared" si="30"/>
        <v>0</v>
      </c>
      <c r="AA25" s="351">
        <f t="shared" si="30"/>
        <v>0</v>
      </c>
      <c r="AB25" s="351">
        <f t="shared" si="30"/>
        <v>-360</v>
      </c>
      <c r="AC25" s="351">
        <f t="shared" si="30"/>
        <v>0</v>
      </c>
      <c r="AD25" s="845">
        <f t="shared" si="30"/>
        <v>-360</v>
      </c>
      <c r="AE25" s="853">
        <f t="shared" si="30"/>
        <v>0</v>
      </c>
      <c r="AF25" s="768">
        <f t="shared" si="30"/>
        <v>0</v>
      </c>
      <c r="AG25" s="768">
        <f t="shared" si="30"/>
        <v>0</v>
      </c>
      <c r="AH25" s="768">
        <f t="shared" si="30"/>
        <v>0</v>
      </c>
      <c r="AI25" s="352">
        <f t="shared" si="30"/>
        <v>0</v>
      </c>
      <c r="AJ25" s="352">
        <f t="shared" si="30"/>
        <v>0</v>
      </c>
      <c r="AK25" s="204">
        <f t="shared" si="30"/>
        <v>0</v>
      </c>
      <c r="AL25" s="672">
        <f t="shared" si="30"/>
        <v>4968074</v>
      </c>
      <c r="AM25" s="466">
        <f t="shared" si="30"/>
        <v>3649782</v>
      </c>
      <c r="AN25" s="351">
        <f t="shared" si="30"/>
        <v>36000</v>
      </c>
      <c r="AO25" s="351">
        <f t="shared" si="30"/>
        <v>1245794</v>
      </c>
      <c r="AP25" s="351">
        <f t="shared" si="30"/>
        <v>36498</v>
      </c>
      <c r="AQ25" s="351">
        <f t="shared" si="30"/>
        <v>0</v>
      </c>
      <c r="AR25" s="204">
        <f t="shared" si="30"/>
        <v>6</v>
      </c>
    </row>
    <row r="26" spans="1:44" ht="12.95" customHeight="1" x14ac:dyDescent="0.25">
      <c r="A26" s="205">
        <v>5</v>
      </c>
      <c r="B26" s="143">
        <v>5467</v>
      </c>
      <c r="C26" s="143">
        <v>600098648</v>
      </c>
      <c r="D26" s="143">
        <v>72743948</v>
      </c>
      <c r="E26" s="295" t="s">
        <v>443</v>
      </c>
      <c r="F26" s="143">
        <v>3111</v>
      </c>
      <c r="G26" s="296" t="s">
        <v>290</v>
      </c>
      <c r="H26" s="210" t="s">
        <v>262</v>
      </c>
      <c r="I26" s="586">
        <f t="shared" si="10"/>
        <v>4680552</v>
      </c>
      <c r="J26" s="490">
        <v>3472220</v>
      </c>
      <c r="K26" s="55">
        <f t="shared" si="11"/>
        <v>1173610</v>
      </c>
      <c r="L26" s="55">
        <f t="shared" si="12"/>
        <v>34722</v>
      </c>
      <c r="M26" s="490">
        <v>0</v>
      </c>
      <c r="N26" s="752">
        <v>6</v>
      </c>
      <c r="O26" s="555">
        <f>V26*-1</f>
        <v>0</v>
      </c>
      <c r="P26" s="578">
        <v>0</v>
      </c>
      <c r="Q26" s="325">
        <v>0</v>
      </c>
      <c r="R26" s="325">
        <v>0</v>
      </c>
      <c r="S26" s="325">
        <v>0</v>
      </c>
      <c r="T26" s="325">
        <v>0</v>
      </c>
      <c r="U26" s="492">
        <f>O26+P26+Q26+R26+S26+T26</f>
        <v>0</v>
      </c>
      <c r="V26" s="325">
        <v>0</v>
      </c>
      <c r="W26" s="325">
        <v>0</v>
      </c>
      <c r="X26" s="325">
        <v>0</v>
      </c>
      <c r="Y26" s="492">
        <f t="shared" ref="Y26:Y27" si="31">V26+W26+X26</f>
        <v>0</v>
      </c>
      <c r="Z26" s="492">
        <f t="shared" ref="Z26:Z27" si="32">U26+Y26</f>
        <v>0</v>
      </c>
      <c r="AA26" s="494">
        <f t="shared" ref="AA26:AA27" si="33">ROUND((U26+Y26)*33.8%,0)</f>
        <v>0</v>
      </c>
      <c r="AB26" s="494">
        <f t="shared" ref="AB26:AB27" si="34">ROUND(U26*1%,0)</f>
        <v>0</v>
      </c>
      <c r="AC26" s="492">
        <v>0</v>
      </c>
      <c r="AD26" s="789">
        <f t="shared" ref="AD26:AD27" si="35">Z26+AA26+AB26+AC26</f>
        <v>0</v>
      </c>
      <c r="AE26" s="851">
        <v>0</v>
      </c>
      <c r="AF26" s="764">
        <v>0</v>
      </c>
      <c r="AG26" s="763">
        <v>0</v>
      </c>
      <c r="AH26" s="763">
        <v>0</v>
      </c>
      <c r="AI26" s="326">
        <v>0</v>
      </c>
      <c r="AJ26" s="326">
        <v>0</v>
      </c>
      <c r="AK26" s="626">
        <f>SUM(AE26:AJ26)</f>
        <v>0</v>
      </c>
      <c r="AL26" s="696">
        <f>I26+AD26</f>
        <v>4680552</v>
      </c>
      <c r="AM26" s="492">
        <f>J26+U26</f>
        <v>3472220</v>
      </c>
      <c r="AN26" s="492">
        <f>Y26</f>
        <v>0</v>
      </c>
      <c r="AO26" s="492">
        <f t="shared" ref="AO26:AQ27" si="36">K26+AA26</f>
        <v>1173610</v>
      </c>
      <c r="AP26" s="492">
        <f t="shared" si="36"/>
        <v>34722</v>
      </c>
      <c r="AQ26" s="492">
        <f t="shared" si="36"/>
        <v>0</v>
      </c>
      <c r="AR26" s="626">
        <f>N26+AK26</f>
        <v>6</v>
      </c>
    </row>
    <row r="27" spans="1:44" ht="12.95" customHeight="1" x14ac:dyDescent="0.25">
      <c r="A27" s="205">
        <v>5</v>
      </c>
      <c r="B27" s="143">
        <v>5467</v>
      </c>
      <c r="C27" s="143">
        <v>600098648</v>
      </c>
      <c r="D27" s="143">
        <v>72743948</v>
      </c>
      <c r="E27" s="294" t="s">
        <v>443</v>
      </c>
      <c r="F27" s="143">
        <v>3111</v>
      </c>
      <c r="G27" s="248" t="s">
        <v>278</v>
      </c>
      <c r="H27" s="210" t="s">
        <v>263</v>
      </c>
      <c r="I27" s="586">
        <f t="shared" si="10"/>
        <v>0</v>
      </c>
      <c r="J27" s="490">
        <v>0</v>
      </c>
      <c r="K27" s="55">
        <f t="shared" si="11"/>
        <v>0</v>
      </c>
      <c r="L27" s="55">
        <f t="shared" si="12"/>
        <v>0</v>
      </c>
      <c r="M27" s="490">
        <v>0</v>
      </c>
      <c r="N27" s="752">
        <v>0</v>
      </c>
      <c r="O27" s="327">
        <f>V27*-1</f>
        <v>0</v>
      </c>
      <c r="P27" s="578">
        <v>0</v>
      </c>
      <c r="Q27" s="325">
        <v>0</v>
      </c>
      <c r="R27" s="325">
        <v>0</v>
      </c>
      <c r="S27" s="325">
        <v>0</v>
      </c>
      <c r="T27" s="325">
        <v>0</v>
      </c>
      <c r="U27" s="492">
        <f>O27+P27+Q27+R27+S27+T27</f>
        <v>0</v>
      </c>
      <c r="V27" s="325">
        <v>0</v>
      </c>
      <c r="W27" s="325">
        <v>0</v>
      </c>
      <c r="X27" s="325">
        <v>0</v>
      </c>
      <c r="Y27" s="492">
        <f t="shared" si="31"/>
        <v>0</v>
      </c>
      <c r="Z27" s="492">
        <f t="shared" si="32"/>
        <v>0</v>
      </c>
      <c r="AA27" s="494">
        <f t="shared" si="33"/>
        <v>0</v>
      </c>
      <c r="AB27" s="494">
        <f t="shared" si="34"/>
        <v>0</v>
      </c>
      <c r="AC27" s="492">
        <v>0</v>
      </c>
      <c r="AD27" s="789">
        <f t="shared" si="35"/>
        <v>0</v>
      </c>
      <c r="AE27" s="851">
        <v>0</v>
      </c>
      <c r="AF27" s="764">
        <v>0</v>
      </c>
      <c r="AG27" s="763">
        <v>0</v>
      </c>
      <c r="AH27" s="763">
        <v>0</v>
      </c>
      <c r="AI27" s="326">
        <v>0</v>
      </c>
      <c r="AJ27" s="326">
        <v>0</v>
      </c>
      <c r="AK27" s="626">
        <f>SUM(AE27:AJ27)</f>
        <v>0</v>
      </c>
      <c r="AL27" s="696">
        <f>I27+AD27</f>
        <v>0</v>
      </c>
      <c r="AM27" s="492">
        <f>J27+U27</f>
        <v>0</v>
      </c>
      <c r="AN27" s="492">
        <f>Y27</f>
        <v>0</v>
      </c>
      <c r="AO27" s="492">
        <f t="shared" si="36"/>
        <v>0</v>
      </c>
      <c r="AP27" s="492">
        <f t="shared" si="36"/>
        <v>0</v>
      </c>
      <c r="AQ27" s="492">
        <f t="shared" si="36"/>
        <v>0</v>
      </c>
      <c r="AR27" s="626">
        <f>N27+AK27</f>
        <v>0</v>
      </c>
    </row>
    <row r="28" spans="1:44" ht="12.95" customHeight="1" x14ac:dyDescent="0.25">
      <c r="A28" s="144">
        <v>5</v>
      </c>
      <c r="B28" s="42">
        <v>5467</v>
      </c>
      <c r="C28" s="42">
        <v>600098648</v>
      </c>
      <c r="D28" s="42">
        <v>72743948</v>
      </c>
      <c r="E28" s="306" t="s">
        <v>444</v>
      </c>
      <c r="F28" s="307"/>
      <c r="G28" s="306"/>
      <c r="H28" s="308"/>
      <c r="I28" s="668">
        <f t="shared" ref="I28:AR28" si="37">SUM(I26:I27)</f>
        <v>4680552</v>
      </c>
      <c r="J28" s="573">
        <f t="shared" si="37"/>
        <v>3472220</v>
      </c>
      <c r="K28" s="368">
        <f t="shared" si="37"/>
        <v>1173610</v>
      </c>
      <c r="L28" s="368">
        <f t="shared" si="37"/>
        <v>34722</v>
      </c>
      <c r="M28" s="573">
        <f t="shared" si="37"/>
        <v>0</v>
      </c>
      <c r="N28" s="769">
        <f t="shared" si="37"/>
        <v>6</v>
      </c>
      <c r="O28" s="673">
        <f t="shared" si="37"/>
        <v>0</v>
      </c>
      <c r="P28" s="467">
        <f t="shared" si="37"/>
        <v>0</v>
      </c>
      <c r="Q28" s="368">
        <f t="shared" si="37"/>
        <v>0</v>
      </c>
      <c r="R28" s="368">
        <f t="shared" si="37"/>
        <v>0</v>
      </c>
      <c r="S28" s="368">
        <f t="shared" si="37"/>
        <v>0</v>
      </c>
      <c r="T28" s="368">
        <f t="shared" si="37"/>
        <v>0</v>
      </c>
      <c r="U28" s="368">
        <f t="shared" si="37"/>
        <v>0</v>
      </c>
      <c r="V28" s="368">
        <f t="shared" si="37"/>
        <v>0</v>
      </c>
      <c r="W28" s="368">
        <f t="shared" si="37"/>
        <v>0</v>
      </c>
      <c r="X28" s="368">
        <f t="shared" si="37"/>
        <v>0</v>
      </c>
      <c r="Y28" s="368">
        <f t="shared" si="37"/>
        <v>0</v>
      </c>
      <c r="Z28" s="368">
        <f t="shared" si="37"/>
        <v>0</v>
      </c>
      <c r="AA28" s="368">
        <f t="shared" si="37"/>
        <v>0</v>
      </c>
      <c r="AB28" s="368">
        <f t="shared" si="37"/>
        <v>0</v>
      </c>
      <c r="AC28" s="368">
        <f t="shared" si="37"/>
        <v>0</v>
      </c>
      <c r="AD28" s="846">
        <f t="shared" si="37"/>
        <v>0</v>
      </c>
      <c r="AE28" s="854">
        <f t="shared" si="37"/>
        <v>0</v>
      </c>
      <c r="AF28" s="770">
        <f t="shared" si="37"/>
        <v>0</v>
      </c>
      <c r="AG28" s="770">
        <f t="shared" si="37"/>
        <v>0</v>
      </c>
      <c r="AH28" s="770">
        <f t="shared" si="37"/>
        <v>0</v>
      </c>
      <c r="AI28" s="369">
        <f t="shared" si="37"/>
        <v>0</v>
      </c>
      <c r="AJ28" s="369">
        <f t="shared" si="37"/>
        <v>0</v>
      </c>
      <c r="AK28" s="302">
        <f t="shared" si="37"/>
        <v>0</v>
      </c>
      <c r="AL28" s="673">
        <f t="shared" si="37"/>
        <v>4680552</v>
      </c>
      <c r="AM28" s="467">
        <f t="shared" si="37"/>
        <v>3472220</v>
      </c>
      <c r="AN28" s="368">
        <f t="shared" si="37"/>
        <v>0</v>
      </c>
      <c r="AO28" s="368">
        <f t="shared" si="37"/>
        <v>1173610</v>
      </c>
      <c r="AP28" s="368">
        <f t="shared" si="37"/>
        <v>34722</v>
      </c>
      <c r="AQ28" s="368">
        <f t="shared" si="37"/>
        <v>0</v>
      </c>
      <c r="AR28" s="302">
        <f t="shared" si="37"/>
        <v>6</v>
      </c>
    </row>
    <row r="29" spans="1:44" ht="12.95" customHeight="1" x14ac:dyDescent="0.25">
      <c r="A29" s="205">
        <v>6</v>
      </c>
      <c r="B29" s="143">
        <v>5463</v>
      </c>
      <c r="C29" s="143">
        <v>600098877</v>
      </c>
      <c r="D29" s="143">
        <v>72743786</v>
      </c>
      <c r="E29" s="142" t="s">
        <v>445</v>
      </c>
      <c r="F29" s="143">
        <v>3111</v>
      </c>
      <c r="G29" s="296" t="s">
        <v>290</v>
      </c>
      <c r="H29" s="210" t="s">
        <v>262</v>
      </c>
      <c r="I29" s="586">
        <f t="shared" si="10"/>
        <v>4931701</v>
      </c>
      <c r="J29" s="490">
        <v>3658532</v>
      </c>
      <c r="K29" s="55">
        <f t="shared" si="11"/>
        <v>1236584</v>
      </c>
      <c r="L29" s="55">
        <f t="shared" si="12"/>
        <v>36585</v>
      </c>
      <c r="M29" s="490">
        <v>0</v>
      </c>
      <c r="N29" s="752">
        <v>6.2257999999999996</v>
      </c>
      <c r="O29" s="555">
        <f>V29*-1</f>
        <v>0</v>
      </c>
      <c r="P29" s="578">
        <v>0</v>
      </c>
      <c r="Q29" s="325">
        <v>0</v>
      </c>
      <c r="R29" s="325">
        <v>0</v>
      </c>
      <c r="S29" s="325">
        <v>0</v>
      </c>
      <c r="T29" s="325">
        <v>0</v>
      </c>
      <c r="U29" s="492">
        <f>O29+P29+Q29+R29+S29+T29</f>
        <v>0</v>
      </c>
      <c r="V29" s="325">
        <v>0</v>
      </c>
      <c r="W29" s="325">
        <v>0</v>
      </c>
      <c r="X29" s="325">
        <v>0</v>
      </c>
      <c r="Y29" s="492">
        <f t="shared" ref="Y29:Y30" si="38">V29+W29+X29</f>
        <v>0</v>
      </c>
      <c r="Z29" s="492">
        <f t="shared" ref="Z29:Z30" si="39">U29+Y29</f>
        <v>0</v>
      </c>
      <c r="AA29" s="494">
        <f t="shared" ref="AA29:AA30" si="40">ROUND((U29+Y29)*33.8%,0)</f>
        <v>0</v>
      </c>
      <c r="AB29" s="494">
        <f t="shared" ref="AB29:AB30" si="41">ROUND(U29*1%,0)</f>
        <v>0</v>
      </c>
      <c r="AC29" s="492">
        <v>0</v>
      </c>
      <c r="AD29" s="789">
        <f t="shared" ref="AD29:AD30" si="42">Z29+AA29+AB29+AC29</f>
        <v>0</v>
      </c>
      <c r="AE29" s="851">
        <v>0</v>
      </c>
      <c r="AF29" s="764">
        <v>0</v>
      </c>
      <c r="AG29" s="763">
        <v>0</v>
      </c>
      <c r="AH29" s="763">
        <v>0</v>
      </c>
      <c r="AI29" s="326">
        <v>0</v>
      </c>
      <c r="AJ29" s="326">
        <v>0</v>
      </c>
      <c r="AK29" s="626">
        <f>SUM(AE29:AJ29)</f>
        <v>0</v>
      </c>
      <c r="AL29" s="696">
        <f>I29+AD29</f>
        <v>4931701</v>
      </c>
      <c r="AM29" s="492">
        <f>J29+U29</f>
        <v>3658532</v>
      </c>
      <c r="AN29" s="492">
        <f>Y29</f>
        <v>0</v>
      </c>
      <c r="AO29" s="492">
        <f t="shared" ref="AO29:AQ30" si="43">K29+AA29</f>
        <v>1236584</v>
      </c>
      <c r="AP29" s="492">
        <f t="shared" si="43"/>
        <v>36585</v>
      </c>
      <c r="AQ29" s="492">
        <f t="shared" si="43"/>
        <v>0</v>
      </c>
      <c r="AR29" s="626">
        <f>N29+AK29</f>
        <v>6.2257999999999996</v>
      </c>
    </row>
    <row r="30" spans="1:44" ht="12.95" customHeight="1" x14ac:dyDescent="0.25">
      <c r="A30" s="205">
        <v>6</v>
      </c>
      <c r="B30" s="143">
        <v>5463</v>
      </c>
      <c r="C30" s="143">
        <v>600098877</v>
      </c>
      <c r="D30" s="143">
        <v>72743786</v>
      </c>
      <c r="E30" s="295" t="s">
        <v>445</v>
      </c>
      <c r="F30" s="143">
        <v>3111</v>
      </c>
      <c r="G30" s="248" t="s">
        <v>278</v>
      </c>
      <c r="H30" s="210" t="s">
        <v>263</v>
      </c>
      <c r="I30" s="586">
        <f t="shared" si="10"/>
        <v>0</v>
      </c>
      <c r="J30" s="490">
        <v>0</v>
      </c>
      <c r="K30" s="55">
        <f t="shared" si="11"/>
        <v>0</v>
      </c>
      <c r="L30" s="55">
        <f t="shared" si="12"/>
        <v>0</v>
      </c>
      <c r="M30" s="490">
        <v>0</v>
      </c>
      <c r="N30" s="752">
        <v>0</v>
      </c>
      <c r="O30" s="327">
        <f>V30*-1</f>
        <v>0</v>
      </c>
      <c r="P30" s="578">
        <v>324126</v>
      </c>
      <c r="Q30" s="325">
        <v>0</v>
      </c>
      <c r="R30" s="325">
        <v>0</v>
      </c>
      <c r="S30" s="325">
        <v>0</v>
      </c>
      <c r="T30" s="325">
        <v>0</v>
      </c>
      <c r="U30" s="492">
        <f>O30+P30+Q30+R30+S30+T30</f>
        <v>324126</v>
      </c>
      <c r="V30" s="325">
        <v>0</v>
      </c>
      <c r="W30" s="325">
        <v>0</v>
      </c>
      <c r="X30" s="325">
        <v>0</v>
      </c>
      <c r="Y30" s="492">
        <f t="shared" si="38"/>
        <v>0</v>
      </c>
      <c r="Z30" s="492">
        <f t="shared" si="39"/>
        <v>324126</v>
      </c>
      <c r="AA30" s="494">
        <f t="shared" si="40"/>
        <v>109555</v>
      </c>
      <c r="AB30" s="494">
        <f t="shared" si="41"/>
        <v>3241</v>
      </c>
      <c r="AC30" s="492">
        <v>0</v>
      </c>
      <c r="AD30" s="789">
        <f t="shared" si="42"/>
        <v>436922</v>
      </c>
      <c r="AE30" s="851">
        <v>0</v>
      </c>
      <c r="AF30" s="764">
        <v>0.8</v>
      </c>
      <c r="AG30" s="763">
        <v>0</v>
      </c>
      <c r="AH30" s="763">
        <v>0</v>
      </c>
      <c r="AI30" s="326">
        <v>0</v>
      </c>
      <c r="AJ30" s="326">
        <v>0</v>
      </c>
      <c r="AK30" s="626">
        <f>SUM(AE30:AJ30)</f>
        <v>0.8</v>
      </c>
      <c r="AL30" s="696">
        <f>I30+AD30</f>
        <v>436922</v>
      </c>
      <c r="AM30" s="492">
        <f>J30+U30</f>
        <v>324126</v>
      </c>
      <c r="AN30" s="492">
        <f>Y30</f>
        <v>0</v>
      </c>
      <c r="AO30" s="492">
        <f t="shared" si="43"/>
        <v>109555</v>
      </c>
      <c r="AP30" s="492">
        <f t="shared" si="43"/>
        <v>3241</v>
      </c>
      <c r="AQ30" s="492">
        <f t="shared" si="43"/>
        <v>0</v>
      </c>
      <c r="AR30" s="626">
        <f>N30+AK30</f>
        <v>0.8</v>
      </c>
    </row>
    <row r="31" spans="1:44" ht="12.95" customHeight="1" x14ac:dyDescent="0.25">
      <c r="A31" s="144">
        <v>6</v>
      </c>
      <c r="B31" s="41">
        <v>5463</v>
      </c>
      <c r="C31" s="41">
        <v>600098877</v>
      </c>
      <c r="D31" s="41">
        <v>72743786</v>
      </c>
      <c r="E31" s="297" t="s">
        <v>446</v>
      </c>
      <c r="F31" s="41"/>
      <c r="G31" s="297"/>
      <c r="H31" s="128"/>
      <c r="I31" s="666">
        <f t="shared" ref="I31:AR31" si="44">SUM(I29:I30)</f>
        <v>4931701</v>
      </c>
      <c r="J31" s="571">
        <f t="shared" si="44"/>
        <v>3658532</v>
      </c>
      <c r="K31" s="366">
        <f t="shared" si="44"/>
        <v>1236584</v>
      </c>
      <c r="L31" s="366">
        <f t="shared" si="44"/>
        <v>36585</v>
      </c>
      <c r="M31" s="571">
        <f t="shared" si="44"/>
        <v>0</v>
      </c>
      <c r="N31" s="765">
        <f t="shared" si="44"/>
        <v>6.2257999999999996</v>
      </c>
      <c r="O31" s="671">
        <f t="shared" si="44"/>
        <v>0</v>
      </c>
      <c r="P31" s="465">
        <f t="shared" si="44"/>
        <v>324126</v>
      </c>
      <c r="Q31" s="366">
        <f t="shared" si="44"/>
        <v>0</v>
      </c>
      <c r="R31" s="366">
        <f t="shared" si="44"/>
        <v>0</v>
      </c>
      <c r="S31" s="366">
        <f t="shared" si="44"/>
        <v>0</v>
      </c>
      <c r="T31" s="366">
        <f t="shared" si="44"/>
        <v>0</v>
      </c>
      <c r="U31" s="366">
        <f t="shared" si="44"/>
        <v>324126</v>
      </c>
      <c r="V31" s="366">
        <f t="shared" si="44"/>
        <v>0</v>
      </c>
      <c r="W31" s="366">
        <f t="shared" si="44"/>
        <v>0</v>
      </c>
      <c r="X31" s="366">
        <f t="shared" si="44"/>
        <v>0</v>
      </c>
      <c r="Y31" s="366">
        <f t="shared" si="44"/>
        <v>0</v>
      </c>
      <c r="Z31" s="366">
        <f t="shared" si="44"/>
        <v>324126</v>
      </c>
      <c r="AA31" s="366">
        <f t="shared" si="44"/>
        <v>109555</v>
      </c>
      <c r="AB31" s="366">
        <f t="shared" si="44"/>
        <v>3241</v>
      </c>
      <c r="AC31" s="366">
        <f t="shared" si="44"/>
        <v>0</v>
      </c>
      <c r="AD31" s="844">
        <f t="shared" si="44"/>
        <v>436922</v>
      </c>
      <c r="AE31" s="852">
        <f t="shared" si="44"/>
        <v>0</v>
      </c>
      <c r="AF31" s="766">
        <f t="shared" si="44"/>
        <v>0.8</v>
      </c>
      <c r="AG31" s="766">
        <f t="shared" si="44"/>
        <v>0</v>
      </c>
      <c r="AH31" s="766">
        <f t="shared" si="44"/>
        <v>0</v>
      </c>
      <c r="AI31" s="367">
        <f t="shared" si="44"/>
        <v>0</v>
      </c>
      <c r="AJ31" s="367">
        <f t="shared" si="44"/>
        <v>0</v>
      </c>
      <c r="AK31" s="298">
        <f t="shared" si="44"/>
        <v>0.8</v>
      </c>
      <c r="AL31" s="671">
        <f t="shared" si="44"/>
        <v>5368623</v>
      </c>
      <c r="AM31" s="465">
        <f t="shared" si="44"/>
        <v>3982658</v>
      </c>
      <c r="AN31" s="366">
        <f t="shared" si="44"/>
        <v>0</v>
      </c>
      <c r="AO31" s="366">
        <f t="shared" si="44"/>
        <v>1346139</v>
      </c>
      <c r="AP31" s="366">
        <f t="shared" si="44"/>
        <v>39826</v>
      </c>
      <c r="AQ31" s="366">
        <f t="shared" si="44"/>
        <v>0</v>
      </c>
      <c r="AR31" s="298">
        <f t="shared" si="44"/>
        <v>7.0257999999999994</v>
      </c>
    </row>
    <row r="32" spans="1:44" ht="12.95" customHeight="1" x14ac:dyDescent="0.25">
      <c r="A32" s="205">
        <v>7</v>
      </c>
      <c r="B32" s="143">
        <v>5461</v>
      </c>
      <c r="C32" s="143">
        <v>600098915</v>
      </c>
      <c r="D32" s="143">
        <v>72743701</v>
      </c>
      <c r="E32" s="142" t="s">
        <v>447</v>
      </c>
      <c r="F32" s="143">
        <v>3111</v>
      </c>
      <c r="G32" s="296" t="s">
        <v>290</v>
      </c>
      <c r="H32" s="210" t="s">
        <v>262</v>
      </c>
      <c r="I32" s="586">
        <f t="shared" si="10"/>
        <v>3304817</v>
      </c>
      <c r="J32" s="490">
        <v>2451645</v>
      </c>
      <c r="K32" s="55">
        <f t="shared" si="11"/>
        <v>828656</v>
      </c>
      <c r="L32" s="55">
        <f t="shared" si="12"/>
        <v>24516</v>
      </c>
      <c r="M32" s="490">
        <v>0</v>
      </c>
      <c r="N32" s="752">
        <v>4.0599999999999996</v>
      </c>
      <c r="O32" s="555">
        <f>V32*-1</f>
        <v>0</v>
      </c>
      <c r="P32" s="578">
        <v>0</v>
      </c>
      <c r="Q32" s="325">
        <v>0</v>
      </c>
      <c r="R32" s="325">
        <v>0</v>
      </c>
      <c r="S32" s="325">
        <v>0</v>
      </c>
      <c r="T32" s="325">
        <v>0</v>
      </c>
      <c r="U32" s="492">
        <f>O32+P32+Q32+R32+S32+T32</f>
        <v>0</v>
      </c>
      <c r="V32" s="325">
        <v>0</v>
      </c>
      <c r="W32" s="325">
        <v>0</v>
      </c>
      <c r="X32" s="325">
        <v>0</v>
      </c>
      <c r="Y32" s="492">
        <f>V32+W32+X32</f>
        <v>0</v>
      </c>
      <c r="Z32" s="492">
        <f>U32+Y32</f>
        <v>0</v>
      </c>
      <c r="AA32" s="494">
        <f>ROUND((U32+Y32)*33.8%,0)</f>
        <v>0</v>
      </c>
      <c r="AB32" s="494">
        <f t="shared" ref="AB32" si="45">ROUND(U32*1%,0)</f>
        <v>0</v>
      </c>
      <c r="AC32" s="492">
        <v>0</v>
      </c>
      <c r="AD32" s="789">
        <f t="shared" ref="AD32" si="46">Z32+AA32+AB32+AC32</f>
        <v>0</v>
      </c>
      <c r="AE32" s="851">
        <v>0</v>
      </c>
      <c r="AF32" s="764">
        <v>0</v>
      </c>
      <c r="AG32" s="763">
        <v>0</v>
      </c>
      <c r="AH32" s="763">
        <v>0</v>
      </c>
      <c r="AI32" s="326">
        <v>0</v>
      </c>
      <c r="AJ32" s="326">
        <v>0</v>
      </c>
      <c r="AK32" s="626">
        <f>SUM(AE32:AJ32)</f>
        <v>0</v>
      </c>
      <c r="AL32" s="696">
        <f>I32+AD32</f>
        <v>3304817</v>
      </c>
      <c r="AM32" s="492">
        <f>J32+U32</f>
        <v>2451645</v>
      </c>
      <c r="AN32" s="492">
        <f>Y32</f>
        <v>0</v>
      </c>
      <c r="AO32" s="492">
        <f>K32+AA32</f>
        <v>828656</v>
      </c>
      <c r="AP32" s="492">
        <f>L32+AB32</f>
        <v>24516</v>
      </c>
      <c r="AQ32" s="492">
        <f>M32+AC32</f>
        <v>0</v>
      </c>
      <c r="AR32" s="626">
        <f>N32+AK32</f>
        <v>4.0599999999999996</v>
      </c>
    </row>
    <row r="33" spans="1:44" ht="12.95" customHeight="1" x14ac:dyDescent="0.25">
      <c r="A33" s="144">
        <v>7</v>
      </c>
      <c r="B33" s="43">
        <v>5461</v>
      </c>
      <c r="C33" s="43">
        <v>600098915</v>
      </c>
      <c r="D33" s="43">
        <v>72743701</v>
      </c>
      <c r="E33" s="309" t="s">
        <v>448</v>
      </c>
      <c r="F33" s="43"/>
      <c r="G33" s="309"/>
      <c r="H33" s="130"/>
      <c r="I33" s="667">
        <f t="shared" ref="I33:AR33" si="47">SUM(I32:I32)</f>
        <v>3304817</v>
      </c>
      <c r="J33" s="572">
        <f t="shared" si="47"/>
        <v>2451645</v>
      </c>
      <c r="K33" s="351">
        <f t="shared" si="47"/>
        <v>828656</v>
      </c>
      <c r="L33" s="351">
        <f t="shared" si="47"/>
        <v>24516</v>
      </c>
      <c r="M33" s="572">
        <f t="shared" si="47"/>
        <v>0</v>
      </c>
      <c r="N33" s="767">
        <f t="shared" si="47"/>
        <v>4.0599999999999996</v>
      </c>
      <c r="O33" s="672">
        <f t="shared" si="47"/>
        <v>0</v>
      </c>
      <c r="P33" s="466">
        <f t="shared" si="47"/>
        <v>0</v>
      </c>
      <c r="Q33" s="351">
        <f t="shared" si="47"/>
        <v>0</v>
      </c>
      <c r="R33" s="351">
        <f t="shared" si="47"/>
        <v>0</v>
      </c>
      <c r="S33" s="351">
        <f t="shared" si="47"/>
        <v>0</v>
      </c>
      <c r="T33" s="351">
        <f t="shared" si="47"/>
        <v>0</v>
      </c>
      <c r="U33" s="351">
        <f t="shared" si="47"/>
        <v>0</v>
      </c>
      <c r="V33" s="351">
        <f t="shared" si="47"/>
        <v>0</v>
      </c>
      <c r="W33" s="351">
        <f t="shared" si="47"/>
        <v>0</v>
      </c>
      <c r="X33" s="351">
        <f t="shared" si="47"/>
        <v>0</v>
      </c>
      <c r="Y33" s="351">
        <f t="shared" si="47"/>
        <v>0</v>
      </c>
      <c r="Z33" s="351">
        <f t="shared" si="47"/>
        <v>0</v>
      </c>
      <c r="AA33" s="351">
        <f t="shared" si="47"/>
        <v>0</v>
      </c>
      <c r="AB33" s="351">
        <f t="shared" si="47"/>
        <v>0</v>
      </c>
      <c r="AC33" s="351">
        <f t="shared" si="47"/>
        <v>0</v>
      </c>
      <c r="AD33" s="845">
        <f t="shared" si="47"/>
        <v>0</v>
      </c>
      <c r="AE33" s="853">
        <f t="shared" si="47"/>
        <v>0</v>
      </c>
      <c r="AF33" s="768">
        <f t="shared" si="47"/>
        <v>0</v>
      </c>
      <c r="AG33" s="768">
        <f t="shared" si="47"/>
        <v>0</v>
      </c>
      <c r="AH33" s="768">
        <f t="shared" si="47"/>
        <v>0</v>
      </c>
      <c r="AI33" s="352">
        <f t="shared" si="47"/>
        <v>0</v>
      </c>
      <c r="AJ33" s="352">
        <f t="shared" si="47"/>
        <v>0</v>
      </c>
      <c r="AK33" s="204">
        <f t="shared" si="47"/>
        <v>0</v>
      </c>
      <c r="AL33" s="672">
        <f t="shared" si="47"/>
        <v>3304817</v>
      </c>
      <c r="AM33" s="466">
        <f t="shared" si="47"/>
        <v>2451645</v>
      </c>
      <c r="AN33" s="351">
        <f t="shared" si="47"/>
        <v>0</v>
      </c>
      <c r="AO33" s="351">
        <f t="shared" si="47"/>
        <v>828656</v>
      </c>
      <c r="AP33" s="351">
        <f t="shared" si="47"/>
        <v>24516</v>
      </c>
      <c r="AQ33" s="351">
        <f t="shared" si="47"/>
        <v>0</v>
      </c>
      <c r="AR33" s="204">
        <f t="shared" si="47"/>
        <v>4.0599999999999996</v>
      </c>
    </row>
    <row r="34" spans="1:44" ht="12.95" customHeight="1" x14ac:dyDescent="0.25">
      <c r="A34" s="205">
        <v>8</v>
      </c>
      <c r="B34" s="293">
        <v>5466</v>
      </c>
      <c r="C34" s="293">
        <v>600098885</v>
      </c>
      <c r="D34" s="293">
        <v>72743794</v>
      </c>
      <c r="E34" s="294" t="s">
        <v>449</v>
      </c>
      <c r="F34" s="293">
        <v>3111</v>
      </c>
      <c r="G34" s="296" t="s">
        <v>290</v>
      </c>
      <c r="H34" s="210" t="s">
        <v>262</v>
      </c>
      <c r="I34" s="586">
        <f t="shared" si="10"/>
        <v>8452224</v>
      </c>
      <c r="J34" s="490">
        <v>6270196</v>
      </c>
      <c r="K34" s="55">
        <f t="shared" si="11"/>
        <v>2119326</v>
      </c>
      <c r="L34" s="55">
        <f t="shared" si="12"/>
        <v>62702</v>
      </c>
      <c r="M34" s="490">
        <v>0</v>
      </c>
      <c r="N34" s="752">
        <v>10</v>
      </c>
      <c r="O34" s="555">
        <f>V34*-1</f>
        <v>0</v>
      </c>
      <c r="P34" s="578">
        <v>0</v>
      </c>
      <c r="Q34" s="325">
        <v>0</v>
      </c>
      <c r="R34" s="325">
        <v>0</v>
      </c>
      <c r="S34" s="325">
        <v>0</v>
      </c>
      <c r="T34" s="325">
        <v>0</v>
      </c>
      <c r="U34" s="492">
        <f>O34+P34+Q34+R34+S34+T34</f>
        <v>0</v>
      </c>
      <c r="V34" s="325">
        <v>0</v>
      </c>
      <c r="W34" s="325">
        <v>0</v>
      </c>
      <c r="X34" s="325">
        <v>0</v>
      </c>
      <c r="Y34" s="492">
        <f t="shared" ref="Y34:Y35" si="48">V34+W34+X34</f>
        <v>0</v>
      </c>
      <c r="Z34" s="492">
        <f t="shared" ref="Z34:Z35" si="49">U34+Y34</f>
        <v>0</v>
      </c>
      <c r="AA34" s="494">
        <f t="shared" ref="AA34:AA35" si="50">ROUND((U34+Y34)*33.8%,0)</f>
        <v>0</v>
      </c>
      <c r="AB34" s="494">
        <f t="shared" ref="AB34:AB35" si="51">ROUND(U34*1%,0)</f>
        <v>0</v>
      </c>
      <c r="AC34" s="492">
        <v>0</v>
      </c>
      <c r="AD34" s="789">
        <f t="shared" ref="AD34:AD35" si="52">Z34+AA34+AB34+AC34</f>
        <v>0</v>
      </c>
      <c r="AE34" s="851">
        <v>0</v>
      </c>
      <c r="AF34" s="764">
        <v>0</v>
      </c>
      <c r="AG34" s="763">
        <v>0</v>
      </c>
      <c r="AH34" s="763">
        <v>0</v>
      </c>
      <c r="AI34" s="326">
        <v>0</v>
      </c>
      <c r="AJ34" s="326">
        <v>0</v>
      </c>
      <c r="AK34" s="626">
        <f>SUM(AE34:AJ34)</f>
        <v>0</v>
      </c>
      <c r="AL34" s="696">
        <f>I34+AD34</f>
        <v>8452224</v>
      </c>
      <c r="AM34" s="492">
        <f>J34+U34</f>
        <v>6270196</v>
      </c>
      <c r="AN34" s="492">
        <f>Y34</f>
        <v>0</v>
      </c>
      <c r="AO34" s="492">
        <f t="shared" ref="AO34:AQ35" si="53">K34+AA34</f>
        <v>2119326</v>
      </c>
      <c r="AP34" s="492">
        <f t="shared" si="53"/>
        <v>62702</v>
      </c>
      <c r="AQ34" s="492">
        <f t="shared" si="53"/>
        <v>0</v>
      </c>
      <c r="AR34" s="626">
        <f>N34+AK34</f>
        <v>10</v>
      </c>
    </row>
    <row r="35" spans="1:44" ht="12.95" customHeight="1" x14ac:dyDescent="0.25">
      <c r="A35" s="205">
        <v>8</v>
      </c>
      <c r="B35" s="293">
        <v>5466</v>
      </c>
      <c r="C35" s="293">
        <v>600098885</v>
      </c>
      <c r="D35" s="293">
        <v>72743794</v>
      </c>
      <c r="E35" s="294" t="s">
        <v>449</v>
      </c>
      <c r="F35" s="293">
        <v>3111</v>
      </c>
      <c r="G35" s="256" t="s">
        <v>279</v>
      </c>
      <c r="H35" s="210" t="s">
        <v>262</v>
      </c>
      <c r="I35" s="586">
        <f t="shared" si="10"/>
        <v>290351</v>
      </c>
      <c r="J35" s="490">
        <v>215394</v>
      </c>
      <c r="K35" s="55">
        <f t="shared" si="11"/>
        <v>72803</v>
      </c>
      <c r="L35" s="55">
        <f t="shared" si="12"/>
        <v>2154</v>
      </c>
      <c r="M35" s="490">
        <v>0</v>
      </c>
      <c r="N35" s="752">
        <v>0.5</v>
      </c>
      <c r="O35" s="327">
        <f>V35*-1</f>
        <v>0</v>
      </c>
      <c r="P35" s="578">
        <v>0</v>
      </c>
      <c r="Q35" s="325">
        <v>0</v>
      </c>
      <c r="R35" s="325">
        <v>0</v>
      </c>
      <c r="S35" s="325">
        <v>0</v>
      </c>
      <c r="T35" s="325">
        <v>0</v>
      </c>
      <c r="U35" s="492">
        <f>O35+P35+Q35+R35+S35+T35</f>
        <v>0</v>
      </c>
      <c r="V35" s="325">
        <v>0</v>
      </c>
      <c r="W35" s="325">
        <v>0</v>
      </c>
      <c r="X35" s="325">
        <v>0</v>
      </c>
      <c r="Y35" s="492">
        <f t="shared" si="48"/>
        <v>0</v>
      </c>
      <c r="Z35" s="492">
        <f t="shared" si="49"/>
        <v>0</v>
      </c>
      <c r="AA35" s="494">
        <f t="shared" si="50"/>
        <v>0</v>
      </c>
      <c r="AB35" s="494">
        <f t="shared" si="51"/>
        <v>0</v>
      </c>
      <c r="AC35" s="492">
        <v>0</v>
      </c>
      <c r="AD35" s="789">
        <f t="shared" si="52"/>
        <v>0</v>
      </c>
      <c r="AE35" s="851">
        <v>0</v>
      </c>
      <c r="AF35" s="764">
        <v>0</v>
      </c>
      <c r="AG35" s="763">
        <v>0</v>
      </c>
      <c r="AH35" s="763">
        <v>0</v>
      </c>
      <c r="AI35" s="326">
        <v>0</v>
      </c>
      <c r="AJ35" s="326">
        <v>0</v>
      </c>
      <c r="AK35" s="626">
        <f>SUM(AE35:AJ35)</f>
        <v>0</v>
      </c>
      <c r="AL35" s="696">
        <f>I35+AD35</f>
        <v>290351</v>
      </c>
      <c r="AM35" s="492">
        <f>J35+U35</f>
        <v>215394</v>
      </c>
      <c r="AN35" s="492">
        <f>Y35</f>
        <v>0</v>
      </c>
      <c r="AO35" s="492">
        <f t="shared" si="53"/>
        <v>72803</v>
      </c>
      <c r="AP35" s="492">
        <f t="shared" si="53"/>
        <v>2154</v>
      </c>
      <c r="AQ35" s="492">
        <f t="shared" si="53"/>
        <v>0</v>
      </c>
      <c r="AR35" s="626">
        <f>N35+AK35</f>
        <v>0.5</v>
      </c>
    </row>
    <row r="36" spans="1:44" ht="12.95" customHeight="1" x14ac:dyDescent="0.25">
      <c r="A36" s="144">
        <v>8</v>
      </c>
      <c r="B36" s="41">
        <v>5466</v>
      </c>
      <c r="C36" s="41">
        <v>600098885</v>
      </c>
      <c r="D36" s="41">
        <v>72743794</v>
      </c>
      <c r="E36" s="297" t="s">
        <v>450</v>
      </c>
      <c r="F36" s="41"/>
      <c r="G36" s="297"/>
      <c r="H36" s="128"/>
      <c r="I36" s="667">
        <f t="shared" ref="I36:AR36" si="54">SUM(I34:I35)</f>
        <v>8742575</v>
      </c>
      <c r="J36" s="572">
        <f t="shared" si="54"/>
        <v>6485590</v>
      </c>
      <c r="K36" s="351">
        <f t="shared" si="54"/>
        <v>2192129</v>
      </c>
      <c r="L36" s="351">
        <f t="shared" si="54"/>
        <v>64856</v>
      </c>
      <c r="M36" s="572">
        <f t="shared" si="54"/>
        <v>0</v>
      </c>
      <c r="N36" s="767">
        <f t="shared" si="54"/>
        <v>10.5</v>
      </c>
      <c r="O36" s="672">
        <f t="shared" si="54"/>
        <v>0</v>
      </c>
      <c r="P36" s="466">
        <f t="shared" si="54"/>
        <v>0</v>
      </c>
      <c r="Q36" s="351">
        <f t="shared" si="54"/>
        <v>0</v>
      </c>
      <c r="R36" s="351">
        <f t="shared" si="54"/>
        <v>0</v>
      </c>
      <c r="S36" s="351">
        <f t="shared" si="54"/>
        <v>0</v>
      </c>
      <c r="T36" s="351">
        <f t="shared" si="54"/>
        <v>0</v>
      </c>
      <c r="U36" s="351">
        <f t="shared" si="54"/>
        <v>0</v>
      </c>
      <c r="V36" s="351">
        <f t="shared" si="54"/>
        <v>0</v>
      </c>
      <c r="W36" s="351">
        <f t="shared" si="54"/>
        <v>0</v>
      </c>
      <c r="X36" s="351">
        <f t="shared" si="54"/>
        <v>0</v>
      </c>
      <c r="Y36" s="351">
        <f t="shared" si="54"/>
        <v>0</v>
      </c>
      <c r="Z36" s="351">
        <f t="shared" si="54"/>
        <v>0</v>
      </c>
      <c r="AA36" s="351">
        <f t="shared" si="54"/>
        <v>0</v>
      </c>
      <c r="AB36" s="351">
        <f t="shared" si="54"/>
        <v>0</v>
      </c>
      <c r="AC36" s="351">
        <f t="shared" si="54"/>
        <v>0</v>
      </c>
      <c r="AD36" s="845">
        <f t="shared" si="54"/>
        <v>0</v>
      </c>
      <c r="AE36" s="853">
        <f t="shared" si="54"/>
        <v>0</v>
      </c>
      <c r="AF36" s="768">
        <f t="shared" si="54"/>
        <v>0</v>
      </c>
      <c r="AG36" s="768">
        <f t="shared" si="54"/>
        <v>0</v>
      </c>
      <c r="AH36" s="768">
        <f t="shared" si="54"/>
        <v>0</v>
      </c>
      <c r="AI36" s="352">
        <f t="shared" si="54"/>
        <v>0</v>
      </c>
      <c r="AJ36" s="352">
        <f t="shared" si="54"/>
        <v>0</v>
      </c>
      <c r="AK36" s="204">
        <f t="shared" si="54"/>
        <v>0</v>
      </c>
      <c r="AL36" s="672">
        <f t="shared" si="54"/>
        <v>8742575</v>
      </c>
      <c r="AM36" s="466">
        <f t="shared" si="54"/>
        <v>6485590</v>
      </c>
      <c r="AN36" s="351">
        <f t="shared" si="54"/>
        <v>0</v>
      </c>
      <c r="AO36" s="351">
        <f t="shared" si="54"/>
        <v>2192129</v>
      </c>
      <c r="AP36" s="351">
        <f t="shared" si="54"/>
        <v>64856</v>
      </c>
      <c r="AQ36" s="351">
        <f t="shared" si="54"/>
        <v>0</v>
      </c>
      <c r="AR36" s="204">
        <f t="shared" si="54"/>
        <v>10.5</v>
      </c>
    </row>
    <row r="37" spans="1:44" ht="12.95" customHeight="1" x14ac:dyDescent="0.25">
      <c r="A37" s="205">
        <v>9</v>
      </c>
      <c r="B37" s="143">
        <v>5702</v>
      </c>
      <c r="C37" s="143">
        <v>600099547</v>
      </c>
      <c r="D37" s="143">
        <v>855022</v>
      </c>
      <c r="E37" s="294" t="s">
        <v>451</v>
      </c>
      <c r="F37" s="305">
        <v>3233</v>
      </c>
      <c r="G37" s="294" t="s">
        <v>372</v>
      </c>
      <c r="H37" s="210" t="s">
        <v>263</v>
      </c>
      <c r="I37" s="586">
        <f t="shared" si="10"/>
        <v>3917707</v>
      </c>
      <c r="J37" s="490">
        <v>2906311</v>
      </c>
      <c r="K37" s="55">
        <f t="shared" si="11"/>
        <v>982333</v>
      </c>
      <c r="L37" s="55">
        <f t="shared" si="12"/>
        <v>29063</v>
      </c>
      <c r="M37" s="490">
        <v>0</v>
      </c>
      <c r="N37" s="752">
        <v>4.92</v>
      </c>
      <c r="O37" s="555">
        <f>V37*-1</f>
        <v>-45000</v>
      </c>
      <c r="P37" s="578">
        <v>0</v>
      </c>
      <c r="Q37" s="325">
        <v>0</v>
      </c>
      <c r="R37" s="325">
        <v>0</v>
      </c>
      <c r="S37" s="325">
        <v>0</v>
      </c>
      <c r="T37" s="325">
        <v>0</v>
      </c>
      <c r="U37" s="492">
        <f>O37+P37+Q37+R37+S37+T37</f>
        <v>-45000</v>
      </c>
      <c r="V37" s="325">
        <v>45000</v>
      </c>
      <c r="W37" s="325">
        <v>0</v>
      </c>
      <c r="X37" s="325">
        <v>0</v>
      </c>
      <c r="Y37" s="492">
        <f>V37+W37+X37</f>
        <v>45000</v>
      </c>
      <c r="Z37" s="492">
        <f>U37+Y37</f>
        <v>0</v>
      </c>
      <c r="AA37" s="494">
        <f>ROUND((U37+Y37)*33.8%,0)</f>
        <v>0</v>
      </c>
      <c r="AB37" s="494">
        <f t="shared" ref="AB37" si="55">ROUND(U37*1%,0)</f>
        <v>-450</v>
      </c>
      <c r="AC37" s="492">
        <v>0</v>
      </c>
      <c r="AD37" s="789">
        <f t="shared" ref="AD37" si="56">Z37+AA37+AB37+AC37</f>
        <v>-450</v>
      </c>
      <c r="AE37" s="855">
        <v>-0.08</v>
      </c>
      <c r="AF37" s="764">
        <v>0</v>
      </c>
      <c r="AG37" s="763">
        <v>0</v>
      </c>
      <c r="AH37" s="763">
        <v>0</v>
      </c>
      <c r="AI37" s="326">
        <v>0</v>
      </c>
      <c r="AJ37" s="326">
        <v>0</v>
      </c>
      <c r="AK37" s="626">
        <f>SUM(AE37:AJ37)</f>
        <v>-0.08</v>
      </c>
      <c r="AL37" s="696">
        <f>I37+AD37</f>
        <v>3917257</v>
      </c>
      <c r="AM37" s="492">
        <f>J37+U37</f>
        <v>2861311</v>
      </c>
      <c r="AN37" s="492">
        <f>Y37</f>
        <v>45000</v>
      </c>
      <c r="AO37" s="492">
        <f>K37+AA37</f>
        <v>982333</v>
      </c>
      <c r="AP37" s="492">
        <f>L37+AB37</f>
        <v>28613</v>
      </c>
      <c r="AQ37" s="492">
        <f>M37+AC37</f>
        <v>0</v>
      </c>
      <c r="AR37" s="626">
        <f>N37+AK37</f>
        <v>4.84</v>
      </c>
    </row>
    <row r="38" spans="1:44" ht="12.95" customHeight="1" x14ac:dyDescent="0.25">
      <c r="A38" s="144">
        <v>9</v>
      </c>
      <c r="B38" s="41">
        <v>5702</v>
      </c>
      <c r="C38" s="41">
        <v>600099547</v>
      </c>
      <c r="D38" s="41">
        <v>855022</v>
      </c>
      <c r="E38" s="306" t="s">
        <v>452</v>
      </c>
      <c r="F38" s="307"/>
      <c r="G38" s="306"/>
      <c r="H38" s="308"/>
      <c r="I38" s="666">
        <f t="shared" ref="I38:AR38" si="57">SUM(I37)</f>
        <v>3917707</v>
      </c>
      <c r="J38" s="571">
        <f t="shared" si="57"/>
        <v>2906311</v>
      </c>
      <c r="K38" s="366">
        <f t="shared" si="57"/>
        <v>982333</v>
      </c>
      <c r="L38" s="366">
        <f t="shared" si="57"/>
        <v>29063</v>
      </c>
      <c r="M38" s="571">
        <f t="shared" si="57"/>
        <v>0</v>
      </c>
      <c r="N38" s="765">
        <f t="shared" si="57"/>
        <v>4.92</v>
      </c>
      <c r="O38" s="671">
        <f t="shared" si="57"/>
        <v>-45000</v>
      </c>
      <c r="P38" s="465">
        <f t="shared" si="57"/>
        <v>0</v>
      </c>
      <c r="Q38" s="366">
        <f t="shared" si="57"/>
        <v>0</v>
      </c>
      <c r="R38" s="366">
        <f t="shared" si="57"/>
        <v>0</v>
      </c>
      <c r="S38" s="366">
        <f t="shared" si="57"/>
        <v>0</v>
      </c>
      <c r="T38" s="366">
        <f t="shared" si="57"/>
        <v>0</v>
      </c>
      <c r="U38" s="366">
        <f t="shared" si="57"/>
        <v>-45000</v>
      </c>
      <c r="V38" s="366">
        <f t="shared" si="57"/>
        <v>45000</v>
      </c>
      <c r="W38" s="366">
        <f t="shared" si="57"/>
        <v>0</v>
      </c>
      <c r="X38" s="366">
        <f t="shared" si="57"/>
        <v>0</v>
      </c>
      <c r="Y38" s="366">
        <f t="shared" si="57"/>
        <v>45000</v>
      </c>
      <c r="Z38" s="366">
        <f t="shared" si="57"/>
        <v>0</v>
      </c>
      <c r="AA38" s="366">
        <f t="shared" si="57"/>
        <v>0</v>
      </c>
      <c r="AB38" s="366">
        <f t="shared" si="57"/>
        <v>-450</v>
      </c>
      <c r="AC38" s="366">
        <f t="shared" si="57"/>
        <v>0</v>
      </c>
      <c r="AD38" s="844">
        <f t="shared" si="57"/>
        <v>-450</v>
      </c>
      <c r="AE38" s="852">
        <f t="shared" si="57"/>
        <v>-0.08</v>
      </c>
      <c r="AF38" s="766">
        <f t="shared" si="57"/>
        <v>0</v>
      </c>
      <c r="AG38" s="766">
        <f t="shared" si="57"/>
        <v>0</v>
      </c>
      <c r="AH38" s="766">
        <f t="shared" si="57"/>
        <v>0</v>
      </c>
      <c r="AI38" s="367">
        <f t="shared" si="57"/>
        <v>0</v>
      </c>
      <c r="AJ38" s="367">
        <f t="shared" si="57"/>
        <v>0</v>
      </c>
      <c r="AK38" s="298">
        <f t="shared" si="57"/>
        <v>-0.08</v>
      </c>
      <c r="AL38" s="671">
        <f t="shared" si="57"/>
        <v>3917257</v>
      </c>
      <c r="AM38" s="465">
        <f t="shared" si="57"/>
        <v>2861311</v>
      </c>
      <c r="AN38" s="366">
        <f t="shared" si="57"/>
        <v>45000</v>
      </c>
      <c r="AO38" s="366">
        <f t="shared" si="57"/>
        <v>982333</v>
      </c>
      <c r="AP38" s="366">
        <f t="shared" si="57"/>
        <v>28613</v>
      </c>
      <c r="AQ38" s="366">
        <f t="shared" si="57"/>
        <v>0</v>
      </c>
      <c r="AR38" s="298">
        <f t="shared" si="57"/>
        <v>4.84</v>
      </c>
    </row>
    <row r="39" spans="1:44" ht="12.95" customHeight="1" x14ac:dyDescent="0.25">
      <c r="A39" s="205">
        <v>10</v>
      </c>
      <c r="B39" s="143">
        <v>5458</v>
      </c>
      <c r="C39" s="143">
        <v>600099288</v>
      </c>
      <c r="D39" s="143">
        <v>856126</v>
      </c>
      <c r="E39" s="295" t="s">
        <v>453</v>
      </c>
      <c r="F39" s="143">
        <v>3113</v>
      </c>
      <c r="G39" s="295" t="s">
        <v>294</v>
      </c>
      <c r="H39" s="210" t="s">
        <v>262</v>
      </c>
      <c r="I39" s="586">
        <f t="shared" si="10"/>
        <v>40916203</v>
      </c>
      <c r="J39" s="490">
        <v>30353267</v>
      </c>
      <c r="K39" s="55">
        <f>ROUND(J39*33.8%,0)-1</f>
        <v>10259403</v>
      </c>
      <c r="L39" s="55">
        <f t="shared" si="12"/>
        <v>303533</v>
      </c>
      <c r="M39" s="490">
        <v>0</v>
      </c>
      <c r="N39" s="752">
        <v>39.186100000000003</v>
      </c>
      <c r="O39" s="555">
        <f>V39*-1</f>
        <v>-78000</v>
      </c>
      <c r="P39" s="578">
        <v>0</v>
      </c>
      <c r="Q39" s="325">
        <v>66720</v>
      </c>
      <c r="R39" s="325">
        <v>0</v>
      </c>
      <c r="S39" s="325">
        <v>0</v>
      </c>
      <c r="T39" s="325">
        <v>0</v>
      </c>
      <c r="U39" s="492">
        <f>O39+P39+Q39+R39+S39+T39</f>
        <v>-11280</v>
      </c>
      <c r="V39" s="325">
        <v>78000</v>
      </c>
      <c r="W39" s="325">
        <v>0</v>
      </c>
      <c r="X39" s="325">
        <v>0</v>
      </c>
      <c r="Y39" s="492">
        <f t="shared" ref="Y39:Y42" si="58">V39+W39+X39</f>
        <v>78000</v>
      </c>
      <c r="Z39" s="492">
        <f t="shared" ref="Z39:Z42" si="59">U39+Y39</f>
        <v>66720</v>
      </c>
      <c r="AA39" s="494">
        <f t="shared" ref="AA39:AA42" si="60">ROUND((U39+Y39)*33.8%,0)</f>
        <v>22551</v>
      </c>
      <c r="AB39" s="494">
        <f t="shared" ref="AB39:AB42" si="61">ROUND(U39*1%,0)</f>
        <v>-113</v>
      </c>
      <c r="AC39" s="492">
        <v>0</v>
      </c>
      <c r="AD39" s="789">
        <f t="shared" ref="AD39:AD42" si="62">Z39+AA39+AB39+AC39</f>
        <v>89158</v>
      </c>
      <c r="AE39" s="851">
        <v>-0.08</v>
      </c>
      <c r="AF39" s="764">
        <v>0</v>
      </c>
      <c r="AG39" s="763">
        <v>0</v>
      </c>
      <c r="AH39" s="763">
        <v>0.1</v>
      </c>
      <c r="AI39" s="326">
        <v>0</v>
      </c>
      <c r="AJ39" s="326">
        <v>0</v>
      </c>
      <c r="AK39" s="626">
        <f>SUM(AE39:AJ39)</f>
        <v>2.0000000000000004E-2</v>
      </c>
      <c r="AL39" s="696">
        <f>I39+AD39</f>
        <v>41005361</v>
      </c>
      <c r="AM39" s="492">
        <f>J39+U39</f>
        <v>30341987</v>
      </c>
      <c r="AN39" s="492">
        <f>Y39</f>
        <v>78000</v>
      </c>
      <c r="AO39" s="492">
        <f t="shared" ref="AO39:AQ42" si="63">K39+AA39</f>
        <v>10281954</v>
      </c>
      <c r="AP39" s="492">
        <f t="shared" si="63"/>
        <v>303420</v>
      </c>
      <c r="AQ39" s="492">
        <f t="shared" si="63"/>
        <v>0</v>
      </c>
      <c r="AR39" s="626">
        <f>N39+AK39</f>
        <v>39.206100000000006</v>
      </c>
    </row>
    <row r="40" spans="1:44" ht="12.95" customHeight="1" x14ac:dyDescent="0.25">
      <c r="A40" s="737">
        <v>10</v>
      </c>
      <c r="B40" s="771">
        <v>5458</v>
      </c>
      <c r="C40" s="771">
        <v>600099288</v>
      </c>
      <c r="D40" s="771">
        <v>856126</v>
      </c>
      <c r="E40" s="772" t="s">
        <v>453</v>
      </c>
      <c r="F40" s="771">
        <v>3113</v>
      </c>
      <c r="G40" s="772" t="s">
        <v>799</v>
      </c>
      <c r="H40" s="773" t="s">
        <v>262</v>
      </c>
      <c r="I40" s="586">
        <f t="shared" si="10"/>
        <v>761395</v>
      </c>
      <c r="J40" s="490">
        <v>564833</v>
      </c>
      <c r="K40" s="55">
        <f t="shared" si="11"/>
        <v>190914</v>
      </c>
      <c r="L40" s="55">
        <f t="shared" si="12"/>
        <v>5648</v>
      </c>
      <c r="M40" s="490">
        <v>0</v>
      </c>
      <c r="N40" s="752">
        <v>1.05</v>
      </c>
      <c r="O40" s="555">
        <f t="shared" ref="O40" si="64">V40*-1</f>
        <v>0</v>
      </c>
      <c r="P40" s="578">
        <v>0</v>
      </c>
      <c r="Q40" s="325">
        <v>0</v>
      </c>
      <c r="R40" s="325">
        <v>0</v>
      </c>
      <c r="S40" s="325">
        <v>0</v>
      </c>
      <c r="T40" s="325">
        <v>0</v>
      </c>
      <c r="U40" s="492">
        <f t="shared" ref="U40" si="65">O40+P40+Q40+R40+S40+T40</f>
        <v>0</v>
      </c>
      <c r="V40" s="325">
        <v>0</v>
      </c>
      <c r="W40" s="325">
        <v>0</v>
      </c>
      <c r="X40" s="325">
        <v>0</v>
      </c>
      <c r="Y40" s="492">
        <f>V40+W40+X40</f>
        <v>0</v>
      </c>
      <c r="Z40" s="492">
        <f>U40+Y40</f>
        <v>0</v>
      </c>
      <c r="AA40" s="494">
        <f>ROUND((U40+Y40)*33.8%,0)</f>
        <v>0</v>
      </c>
      <c r="AB40" s="494">
        <f t="shared" si="61"/>
        <v>0</v>
      </c>
      <c r="AC40" s="492">
        <v>0</v>
      </c>
      <c r="AD40" s="789">
        <f t="shared" si="62"/>
        <v>0</v>
      </c>
      <c r="AE40" s="851">
        <v>0</v>
      </c>
      <c r="AF40" s="764">
        <v>0</v>
      </c>
      <c r="AG40" s="763">
        <v>0</v>
      </c>
      <c r="AH40" s="763">
        <v>0</v>
      </c>
      <c r="AI40" s="326">
        <v>0</v>
      </c>
      <c r="AJ40" s="326">
        <v>0</v>
      </c>
      <c r="AK40" s="626">
        <f t="shared" ref="AK40" si="66">SUM(AE40:AJ40)</f>
        <v>0</v>
      </c>
      <c r="AL40" s="696">
        <f>I40+AD40</f>
        <v>761395</v>
      </c>
      <c r="AM40" s="492">
        <f>J40+U40</f>
        <v>564833</v>
      </c>
      <c r="AN40" s="492">
        <f>Y40</f>
        <v>0</v>
      </c>
      <c r="AO40" s="492">
        <f t="shared" si="63"/>
        <v>190914</v>
      </c>
      <c r="AP40" s="492">
        <f t="shared" si="63"/>
        <v>5648</v>
      </c>
      <c r="AQ40" s="492">
        <f t="shared" si="63"/>
        <v>0</v>
      </c>
      <c r="AR40" s="626">
        <f>N40+AK40</f>
        <v>1.05</v>
      </c>
    </row>
    <row r="41" spans="1:44" ht="12.95" customHeight="1" x14ac:dyDescent="0.25">
      <c r="A41" s="205">
        <v>10</v>
      </c>
      <c r="B41" s="143">
        <v>5458</v>
      </c>
      <c r="C41" s="143">
        <v>600099288</v>
      </c>
      <c r="D41" s="143">
        <v>856126</v>
      </c>
      <c r="E41" s="295" t="s">
        <v>453</v>
      </c>
      <c r="F41" s="143">
        <v>3113</v>
      </c>
      <c r="G41" s="248" t="s">
        <v>278</v>
      </c>
      <c r="H41" s="210" t="s">
        <v>263</v>
      </c>
      <c r="I41" s="586">
        <f t="shared" si="10"/>
        <v>0</v>
      </c>
      <c r="J41" s="490">
        <v>0</v>
      </c>
      <c r="K41" s="55">
        <f t="shared" si="11"/>
        <v>0</v>
      </c>
      <c r="L41" s="55">
        <f t="shared" si="12"/>
        <v>0</v>
      </c>
      <c r="M41" s="490">
        <v>0</v>
      </c>
      <c r="N41" s="752">
        <v>0</v>
      </c>
      <c r="O41" s="327">
        <f>V41*-1</f>
        <v>0</v>
      </c>
      <c r="P41" s="578">
        <f>3275998</f>
        <v>3275998</v>
      </c>
      <c r="Q41" s="325">
        <v>0</v>
      </c>
      <c r="R41" s="325">
        <v>0</v>
      </c>
      <c r="S41" s="325">
        <v>0</v>
      </c>
      <c r="T41" s="325">
        <v>0</v>
      </c>
      <c r="U41" s="492">
        <f>O41+P41+Q41+R41+S41+T41</f>
        <v>3275998</v>
      </c>
      <c r="V41" s="325">
        <v>0</v>
      </c>
      <c r="W41" s="325">
        <v>0</v>
      </c>
      <c r="X41" s="325">
        <v>0</v>
      </c>
      <c r="Y41" s="492">
        <f t="shared" si="58"/>
        <v>0</v>
      </c>
      <c r="Z41" s="492">
        <f t="shared" si="59"/>
        <v>3275998</v>
      </c>
      <c r="AA41" s="494">
        <f t="shared" si="60"/>
        <v>1107287</v>
      </c>
      <c r="AB41" s="494">
        <f t="shared" si="61"/>
        <v>32760</v>
      </c>
      <c r="AC41" s="492">
        <v>0</v>
      </c>
      <c r="AD41" s="789">
        <f t="shared" si="62"/>
        <v>4416045</v>
      </c>
      <c r="AE41" s="851">
        <v>0</v>
      </c>
      <c r="AF41" s="764">
        <f>8.2</f>
        <v>8.1999999999999993</v>
      </c>
      <c r="AG41" s="763">
        <v>0</v>
      </c>
      <c r="AH41" s="763">
        <v>0</v>
      </c>
      <c r="AI41" s="326">
        <v>0</v>
      </c>
      <c r="AJ41" s="326">
        <v>0</v>
      </c>
      <c r="AK41" s="626">
        <f>SUM(AE41:AJ41)</f>
        <v>8.1999999999999993</v>
      </c>
      <c r="AL41" s="696">
        <f>I41+AD41</f>
        <v>4416045</v>
      </c>
      <c r="AM41" s="492">
        <f>J41+U41</f>
        <v>3275998</v>
      </c>
      <c r="AN41" s="492">
        <f>Y41</f>
        <v>0</v>
      </c>
      <c r="AO41" s="492">
        <f t="shared" si="63"/>
        <v>1107287</v>
      </c>
      <c r="AP41" s="492">
        <f t="shared" si="63"/>
        <v>32760</v>
      </c>
      <c r="AQ41" s="492">
        <f t="shared" si="63"/>
        <v>0</v>
      </c>
      <c r="AR41" s="626">
        <f>N41+AK41</f>
        <v>8.1999999999999993</v>
      </c>
    </row>
    <row r="42" spans="1:44" ht="12.95" customHeight="1" x14ac:dyDescent="0.25">
      <c r="A42" s="205">
        <v>10</v>
      </c>
      <c r="B42" s="143">
        <v>5458</v>
      </c>
      <c r="C42" s="143">
        <v>600099288</v>
      </c>
      <c r="D42" s="143">
        <v>856126</v>
      </c>
      <c r="E42" s="295" t="s">
        <v>453</v>
      </c>
      <c r="F42" s="143">
        <v>3143</v>
      </c>
      <c r="G42" s="248" t="s">
        <v>795</v>
      </c>
      <c r="H42" s="210" t="s">
        <v>262</v>
      </c>
      <c r="I42" s="586">
        <f t="shared" si="10"/>
        <v>3061295</v>
      </c>
      <c r="J42" s="490">
        <v>2270990</v>
      </c>
      <c r="K42" s="55">
        <f t="shared" si="11"/>
        <v>767595</v>
      </c>
      <c r="L42" s="55">
        <f t="shared" si="12"/>
        <v>22710</v>
      </c>
      <c r="M42" s="490">
        <v>0</v>
      </c>
      <c r="N42" s="752">
        <v>4.4748999999999999</v>
      </c>
      <c r="O42" s="327">
        <f>V42*-1</f>
        <v>-12000</v>
      </c>
      <c r="P42" s="578">
        <v>0</v>
      </c>
      <c r="Q42" s="325">
        <v>0</v>
      </c>
      <c r="R42" s="325">
        <v>0</v>
      </c>
      <c r="S42" s="325">
        <v>0</v>
      </c>
      <c r="T42" s="325">
        <v>0</v>
      </c>
      <c r="U42" s="492">
        <f>O42+P42+Q42+R42+S42+T42</f>
        <v>-12000</v>
      </c>
      <c r="V42" s="325">
        <v>12000</v>
      </c>
      <c r="W42" s="325">
        <v>0</v>
      </c>
      <c r="X42" s="325">
        <v>0</v>
      </c>
      <c r="Y42" s="492">
        <f t="shared" si="58"/>
        <v>12000</v>
      </c>
      <c r="Z42" s="492">
        <f t="shared" si="59"/>
        <v>0</v>
      </c>
      <c r="AA42" s="494">
        <f t="shared" si="60"/>
        <v>0</v>
      </c>
      <c r="AB42" s="494">
        <f t="shared" si="61"/>
        <v>-120</v>
      </c>
      <c r="AC42" s="492">
        <v>0</v>
      </c>
      <c r="AD42" s="789">
        <f t="shared" si="62"/>
        <v>-120</v>
      </c>
      <c r="AE42" s="851">
        <v>0</v>
      </c>
      <c r="AF42" s="764">
        <v>0</v>
      </c>
      <c r="AG42" s="763">
        <v>0</v>
      </c>
      <c r="AH42" s="763">
        <v>0</v>
      </c>
      <c r="AI42" s="326">
        <v>0</v>
      </c>
      <c r="AJ42" s="326">
        <v>0</v>
      </c>
      <c r="AK42" s="626">
        <f>SUM(AE42:AJ42)</f>
        <v>0</v>
      </c>
      <c r="AL42" s="696">
        <f>I42+AD42</f>
        <v>3061175</v>
      </c>
      <c r="AM42" s="492">
        <f>J42+U42</f>
        <v>2258990</v>
      </c>
      <c r="AN42" s="492">
        <f>Y42</f>
        <v>12000</v>
      </c>
      <c r="AO42" s="492">
        <f t="shared" si="63"/>
        <v>767595</v>
      </c>
      <c r="AP42" s="492">
        <f t="shared" si="63"/>
        <v>22590</v>
      </c>
      <c r="AQ42" s="492">
        <f t="shared" si="63"/>
        <v>0</v>
      </c>
      <c r="AR42" s="626">
        <f>N42+AK42</f>
        <v>4.4748999999999999</v>
      </c>
    </row>
    <row r="43" spans="1:44" ht="12.95" customHeight="1" x14ac:dyDescent="0.25">
      <c r="A43" s="144">
        <v>10</v>
      </c>
      <c r="B43" s="41">
        <v>5458</v>
      </c>
      <c r="C43" s="41">
        <v>600099288</v>
      </c>
      <c r="D43" s="41">
        <v>856126</v>
      </c>
      <c r="E43" s="297" t="s">
        <v>454</v>
      </c>
      <c r="F43" s="41"/>
      <c r="G43" s="297"/>
      <c r="H43" s="128"/>
      <c r="I43" s="668">
        <f t="shared" ref="I43:AR43" si="67">SUM(I39:I42)</f>
        <v>44738893</v>
      </c>
      <c r="J43" s="573">
        <f t="shared" si="67"/>
        <v>33189090</v>
      </c>
      <c r="K43" s="368">
        <f t="shared" si="67"/>
        <v>11217912</v>
      </c>
      <c r="L43" s="368">
        <f t="shared" si="67"/>
        <v>331891</v>
      </c>
      <c r="M43" s="573">
        <f t="shared" si="67"/>
        <v>0</v>
      </c>
      <c r="N43" s="769">
        <f t="shared" si="67"/>
        <v>44.710999999999999</v>
      </c>
      <c r="O43" s="673">
        <f t="shared" si="67"/>
        <v>-90000</v>
      </c>
      <c r="P43" s="467">
        <f t="shared" si="67"/>
        <v>3275998</v>
      </c>
      <c r="Q43" s="368">
        <f t="shared" si="67"/>
        <v>66720</v>
      </c>
      <c r="R43" s="368">
        <f t="shared" si="67"/>
        <v>0</v>
      </c>
      <c r="S43" s="368">
        <f t="shared" si="67"/>
        <v>0</v>
      </c>
      <c r="T43" s="368">
        <f t="shared" si="67"/>
        <v>0</v>
      </c>
      <c r="U43" s="368">
        <f t="shared" si="67"/>
        <v>3252718</v>
      </c>
      <c r="V43" s="368">
        <f t="shared" si="67"/>
        <v>90000</v>
      </c>
      <c r="W43" s="368">
        <f t="shared" si="67"/>
        <v>0</v>
      </c>
      <c r="X43" s="368">
        <f t="shared" si="67"/>
        <v>0</v>
      </c>
      <c r="Y43" s="368">
        <f t="shared" si="67"/>
        <v>90000</v>
      </c>
      <c r="Z43" s="368">
        <f t="shared" si="67"/>
        <v>3342718</v>
      </c>
      <c r="AA43" s="368">
        <f t="shared" si="67"/>
        <v>1129838</v>
      </c>
      <c r="AB43" s="368">
        <f t="shared" si="67"/>
        <v>32527</v>
      </c>
      <c r="AC43" s="368">
        <f t="shared" si="67"/>
        <v>0</v>
      </c>
      <c r="AD43" s="846">
        <f t="shared" si="67"/>
        <v>4505083</v>
      </c>
      <c r="AE43" s="854">
        <f t="shared" si="67"/>
        <v>-0.08</v>
      </c>
      <c r="AF43" s="770">
        <f t="shared" si="67"/>
        <v>8.1999999999999993</v>
      </c>
      <c r="AG43" s="770">
        <f t="shared" si="67"/>
        <v>0</v>
      </c>
      <c r="AH43" s="770">
        <f t="shared" si="67"/>
        <v>0.1</v>
      </c>
      <c r="AI43" s="369">
        <f t="shared" si="67"/>
        <v>0</v>
      </c>
      <c r="AJ43" s="369">
        <f t="shared" si="67"/>
        <v>0</v>
      </c>
      <c r="AK43" s="302">
        <f t="shared" si="67"/>
        <v>8.2199999999999989</v>
      </c>
      <c r="AL43" s="673">
        <f t="shared" si="67"/>
        <v>49243976</v>
      </c>
      <c r="AM43" s="467">
        <f t="shared" si="67"/>
        <v>36441808</v>
      </c>
      <c r="AN43" s="368">
        <f t="shared" si="67"/>
        <v>90000</v>
      </c>
      <c r="AO43" s="368">
        <f t="shared" si="67"/>
        <v>12347750</v>
      </c>
      <c r="AP43" s="368">
        <f t="shared" si="67"/>
        <v>364418</v>
      </c>
      <c r="AQ43" s="368">
        <f t="shared" si="67"/>
        <v>0</v>
      </c>
      <c r="AR43" s="302">
        <f t="shared" si="67"/>
        <v>52.931000000000004</v>
      </c>
    </row>
    <row r="44" spans="1:44" ht="12.95" customHeight="1" x14ac:dyDescent="0.25">
      <c r="A44" s="205">
        <v>11</v>
      </c>
      <c r="B44" s="143">
        <v>5456</v>
      </c>
      <c r="C44" s="143">
        <v>600099369</v>
      </c>
      <c r="D44" s="143">
        <v>854794</v>
      </c>
      <c r="E44" s="295" t="s">
        <v>455</v>
      </c>
      <c r="F44" s="143">
        <v>3113</v>
      </c>
      <c r="G44" s="295" t="s">
        <v>294</v>
      </c>
      <c r="H44" s="210" t="s">
        <v>262</v>
      </c>
      <c r="I44" s="586">
        <f t="shared" si="10"/>
        <v>49241506</v>
      </c>
      <c r="J44" s="490">
        <v>36529306</v>
      </c>
      <c r="K44" s="55">
        <f>ROUND(J44*33.8%,0)+1</f>
        <v>12346906</v>
      </c>
      <c r="L44" s="55">
        <f>ROUND(J44*1%,0)+1</f>
        <v>365294</v>
      </c>
      <c r="M44" s="490">
        <v>0</v>
      </c>
      <c r="N44" s="752">
        <v>48.816000000000003</v>
      </c>
      <c r="O44" s="555">
        <f>V44*-1</f>
        <v>-69000</v>
      </c>
      <c r="P44" s="578">
        <v>0</v>
      </c>
      <c r="Q44" s="325">
        <v>43785</v>
      </c>
      <c r="R44" s="325">
        <v>0</v>
      </c>
      <c r="S44" s="325">
        <v>0</v>
      </c>
      <c r="T44" s="325">
        <v>0</v>
      </c>
      <c r="U44" s="492">
        <f>O44+P44+Q44+R44+S44+T44</f>
        <v>-25215</v>
      </c>
      <c r="V44" s="325">
        <v>69000</v>
      </c>
      <c r="W44" s="325">
        <v>0</v>
      </c>
      <c r="X44" s="325">
        <v>0</v>
      </c>
      <c r="Y44" s="492">
        <f t="shared" ref="Y44:Y47" si="68">V44+W44+X44</f>
        <v>69000</v>
      </c>
      <c r="Z44" s="492">
        <f t="shared" ref="Z44:Z47" si="69">U44+Y44</f>
        <v>43785</v>
      </c>
      <c r="AA44" s="494">
        <f t="shared" ref="AA44:AA47" si="70">ROUND((U44+Y44)*33.8%,0)</f>
        <v>14799</v>
      </c>
      <c r="AB44" s="494">
        <f t="shared" ref="AB44:AB47" si="71">ROUND(U44*1%,0)</f>
        <v>-252</v>
      </c>
      <c r="AC44" s="492">
        <v>0</v>
      </c>
      <c r="AD44" s="789">
        <f t="shared" ref="AD44:AD47" si="72">Z44+AA44+AB44+AC44</f>
        <v>58332</v>
      </c>
      <c r="AE44" s="851">
        <v>-0.06</v>
      </c>
      <c r="AF44" s="764">
        <v>0</v>
      </c>
      <c r="AG44" s="763">
        <v>0</v>
      </c>
      <c r="AH44" s="763">
        <v>7.0000000000000007E-2</v>
      </c>
      <c r="AI44" s="326">
        <v>0</v>
      </c>
      <c r="AJ44" s="326">
        <v>0</v>
      </c>
      <c r="AK44" s="626">
        <f>SUM(AE44:AJ44)</f>
        <v>1.0000000000000009E-2</v>
      </c>
      <c r="AL44" s="696">
        <f>I44+AD44</f>
        <v>49299838</v>
      </c>
      <c r="AM44" s="492">
        <f>J44+U44</f>
        <v>36504091</v>
      </c>
      <c r="AN44" s="492">
        <f>Y44</f>
        <v>69000</v>
      </c>
      <c r="AO44" s="492">
        <f t="shared" ref="AO44:AQ47" si="73">K44+AA44</f>
        <v>12361705</v>
      </c>
      <c r="AP44" s="492">
        <f t="shared" si="73"/>
        <v>365042</v>
      </c>
      <c r="AQ44" s="492">
        <f t="shared" si="73"/>
        <v>0</v>
      </c>
      <c r="AR44" s="626">
        <f>N44+AK44</f>
        <v>48.826000000000001</v>
      </c>
    </row>
    <row r="45" spans="1:44" ht="12.95" customHeight="1" x14ac:dyDescent="0.25">
      <c r="A45" s="737">
        <v>11</v>
      </c>
      <c r="B45" s="771">
        <v>5456</v>
      </c>
      <c r="C45" s="771">
        <v>600099369</v>
      </c>
      <c r="D45" s="771">
        <v>854794</v>
      </c>
      <c r="E45" s="772" t="s">
        <v>455</v>
      </c>
      <c r="F45" s="771">
        <v>3113</v>
      </c>
      <c r="G45" s="772" t="s">
        <v>799</v>
      </c>
      <c r="H45" s="773" t="s">
        <v>262</v>
      </c>
      <c r="I45" s="586">
        <f t="shared" si="10"/>
        <v>726771</v>
      </c>
      <c r="J45" s="490">
        <v>539148</v>
      </c>
      <c r="K45" s="55">
        <f t="shared" si="11"/>
        <v>182232</v>
      </c>
      <c r="L45" s="55">
        <f t="shared" si="12"/>
        <v>5391</v>
      </c>
      <c r="M45" s="490">
        <v>0</v>
      </c>
      <c r="N45" s="752">
        <v>1</v>
      </c>
      <c r="O45" s="555">
        <f t="shared" ref="O45" si="74">V45*-1</f>
        <v>0</v>
      </c>
      <c r="P45" s="578">
        <v>0</v>
      </c>
      <c r="Q45" s="325">
        <v>0</v>
      </c>
      <c r="R45" s="325">
        <v>0</v>
      </c>
      <c r="S45" s="325">
        <v>0</v>
      </c>
      <c r="T45" s="325">
        <v>0</v>
      </c>
      <c r="U45" s="492">
        <f t="shared" ref="U45" si="75">O45+P45+Q45+R45+S45+T45</f>
        <v>0</v>
      </c>
      <c r="V45" s="325">
        <v>0</v>
      </c>
      <c r="W45" s="325">
        <v>0</v>
      </c>
      <c r="X45" s="325">
        <v>0</v>
      </c>
      <c r="Y45" s="492">
        <f>V45+W45+X45</f>
        <v>0</v>
      </c>
      <c r="Z45" s="492">
        <f>U45+Y45</f>
        <v>0</v>
      </c>
      <c r="AA45" s="494">
        <f>ROUND((U45+Y45)*33.8%,0)</f>
        <v>0</v>
      </c>
      <c r="AB45" s="494">
        <f t="shared" si="71"/>
        <v>0</v>
      </c>
      <c r="AC45" s="492">
        <v>0</v>
      </c>
      <c r="AD45" s="789">
        <f t="shared" si="72"/>
        <v>0</v>
      </c>
      <c r="AE45" s="851">
        <v>0</v>
      </c>
      <c r="AF45" s="764">
        <v>0</v>
      </c>
      <c r="AG45" s="763">
        <v>0</v>
      </c>
      <c r="AH45" s="763">
        <v>0</v>
      </c>
      <c r="AI45" s="326">
        <v>0</v>
      </c>
      <c r="AJ45" s="326">
        <v>0</v>
      </c>
      <c r="AK45" s="626">
        <f t="shared" ref="AK45" si="76">SUM(AE45:AJ45)</f>
        <v>0</v>
      </c>
      <c r="AL45" s="696">
        <f>I45+AD45</f>
        <v>726771</v>
      </c>
      <c r="AM45" s="492">
        <f>J45+U45</f>
        <v>539148</v>
      </c>
      <c r="AN45" s="492">
        <f>Y45</f>
        <v>0</v>
      </c>
      <c r="AO45" s="492">
        <f t="shared" si="73"/>
        <v>182232</v>
      </c>
      <c r="AP45" s="492">
        <f t="shared" si="73"/>
        <v>5391</v>
      </c>
      <c r="AQ45" s="492">
        <f t="shared" si="73"/>
        <v>0</v>
      </c>
      <c r="AR45" s="626">
        <f>N45+AK45</f>
        <v>1</v>
      </c>
    </row>
    <row r="46" spans="1:44" ht="12.95" customHeight="1" x14ac:dyDescent="0.25">
      <c r="A46" s="205">
        <v>11</v>
      </c>
      <c r="B46" s="143">
        <v>5456</v>
      </c>
      <c r="C46" s="143">
        <v>600099369</v>
      </c>
      <c r="D46" s="143">
        <v>854794</v>
      </c>
      <c r="E46" s="142" t="s">
        <v>455</v>
      </c>
      <c r="F46" s="143">
        <v>3113</v>
      </c>
      <c r="G46" s="248" t="s">
        <v>278</v>
      </c>
      <c r="H46" s="210" t="s">
        <v>263</v>
      </c>
      <c r="I46" s="586">
        <f t="shared" si="10"/>
        <v>0</v>
      </c>
      <c r="J46" s="490">
        <v>0</v>
      </c>
      <c r="K46" s="55">
        <f t="shared" si="11"/>
        <v>0</v>
      </c>
      <c r="L46" s="55">
        <f t="shared" si="12"/>
        <v>0</v>
      </c>
      <c r="M46" s="490">
        <v>0</v>
      </c>
      <c r="N46" s="752">
        <v>0</v>
      </c>
      <c r="O46" s="327">
        <f>V46*-1</f>
        <v>0</v>
      </c>
      <c r="P46" s="578">
        <f>4519898+181889</f>
        <v>4701787</v>
      </c>
      <c r="Q46" s="325">
        <v>0</v>
      </c>
      <c r="R46" s="325">
        <v>0</v>
      </c>
      <c r="S46" s="325">
        <v>0</v>
      </c>
      <c r="T46" s="325">
        <v>0</v>
      </c>
      <c r="U46" s="492">
        <f>O46+P46+Q46+R46+S46+T46</f>
        <v>4701787</v>
      </c>
      <c r="V46" s="325">
        <v>0</v>
      </c>
      <c r="W46" s="325">
        <v>0</v>
      </c>
      <c r="X46" s="325">
        <v>0</v>
      </c>
      <c r="Y46" s="492">
        <f t="shared" si="68"/>
        <v>0</v>
      </c>
      <c r="Z46" s="492">
        <f t="shared" si="69"/>
        <v>4701787</v>
      </c>
      <c r="AA46" s="494">
        <f t="shared" si="70"/>
        <v>1589204</v>
      </c>
      <c r="AB46" s="494">
        <f t="shared" si="71"/>
        <v>47018</v>
      </c>
      <c r="AC46" s="492">
        <v>0</v>
      </c>
      <c r="AD46" s="789">
        <f t="shared" si="72"/>
        <v>6338009</v>
      </c>
      <c r="AE46" s="851">
        <v>0</v>
      </c>
      <c r="AF46" s="764">
        <f>11.36+0.46</f>
        <v>11.82</v>
      </c>
      <c r="AG46" s="763">
        <v>0</v>
      </c>
      <c r="AH46" s="763">
        <v>0</v>
      </c>
      <c r="AI46" s="326">
        <v>0</v>
      </c>
      <c r="AJ46" s="326">
        <v>0</v>
      </c>
      <c r="AK46" s="626">
        <f>SUM(AE46:AJ46)</f>
        <v>11.82</v>
      </c>
      <c r="AL46" s="696">
        <f>I46+AD46</f>
        <v>6338009</v>
      </c>
      <c r="AM46" s="492">
        <f>J46+U46</f>
        <v>4701787</v>
      </c>
      <c r="AN46" s="492">
        <f>Y46</f>
        <v>0</v>
      </c>
      <c r="AO46" s="492">
        <f t="shared" si="73"/>
        <v>1589204</v>
      </c>
      <c r="AP46" s="492">
        <f t="shared" si="73"/>
        <v>47018</v>
      </c>
      <c r="AQ46" s="492">
        <f t="shared" si="73"/>
        <v>0</v>
      </c>
      <c r="AR46" s="626">
        <f>N46+AK46</f>
        <v>11.82</v>
      </c>
    </row>
    <row r="47" spans="1:44" ht="12.95" customHeight="1" x14ac:dyDescent="0.25">
      <c r="A47" s="205">
        <v>11</v>
      </c>
      <c r="B47" s="143">
        <v>5456</v>
      </c>
      <c r="C47" s="143">
        <v>600099369</v>
      </c>
      <c r="D47" s="143">
        <v>854794</v>
      </c>
      <c r="E47" s="142" t="s">
        <v>455</v>
      </c>
      <c r="F47" s="143">
        <v>3143</v>
      </c>
      <c r="G47" s="248" t="s">
        <v>794</v>
      </c>
      <c r="H47" s="210" t="s">
        <v>262</v>
      </c>
      <c r="I47" s="586">
        <f t="shared" si="10"/>
        <v>4153723</v>
      </c>
      <c r="J47" s="490">
        <v>3081397</v>
      </c>
      <c r="K47" s="55">
        <f t="shared" si="11"/>
        <v>1041512</v>
      </c>
      <c r="L47" s="55">
        <f t="shared" si="12"/>
        <v>30814</v>
      </c>
      <c r="M47" s="490">
        <v>0</v>
      </c>
      <c r="N47" s="752">
        <v>5.6980000000000004</v>
      </c>
      <c r="O47" s="327">
        <f>V47*-1</f>
        <v>0</v>
      </c>
      <c r="P47" s="578">
        <v>0</v>
      </c>
      <c r="Q47" s="325">
        <v>0</v>
      </c>
      <c r="R47" s="325">
        <v>0</v>
      </c>
      <c r="S47" s="325">
        <v>0</v>
      </c>
      <c r="T47" s="325">
        <v>0</v>
      </c>
      <c r="U47" s="492">
        <f>O47+P47+Q47+R47+S47+T47</f>
        <v>0</v>
      </c>
      <c r="V47" s="325">
        <v>0</v>
      </c>
      <c r="W47" s="325">
        <v>0</v>
      </c>
      <c r="X47" s="325">
        <v>0</v>
      </c>
      <c r="Y47" s="492">
        <f t="shared" si="68"/>
        <v>0</v>
      </c>
      <c r="Z47" s="492">
        <f t="shared" si="69"/>
        <v>0</v>
      </c>
      <c r="AA47" s="494">
        <f t="shared" si="70"/>
        <v>0</v>
      </c>
      <c r="AB47" s="494">
        <f t="shared" si="71"/>
        <v>0</v>
      </c>
      <c r="AC47" s="492">
        <v>0</v>
      </c>
      <c r="AD47" s="789">
        <f t="shared" si="72"/>
        <v>0</v>
      </c>
      <c r="AE47" s="851">
        <v>0</v>
      </c>
      <c r="AF47" s="764">
        <v>0</v>
      </c>
      <c r="AG47" s="763">
        <v>0</v>
      </c>
      <c r="AH47" s="763">
        <v>0</v>
      </c>
      <c r="AI47" s="326">
        <v>0</v>
      </c>
      <c r="AJ47" s="326">
        <v>0</v>
      </c>
      <c r="AK47" s="626">
        <f>SUM(AE47:AJ47)</f>
        <v>0</v>
      </c>
      <c r="AL47" s="696">
        <f>I47+AD47</f>
        <v>4153723</v>
      </c>
      <c r="AM47" s="492">
        <f>J47+U47</f>
        <v>3081397</v>
      </c>
      <c r="AN47" s="492">
        <f>Y47</f>
        <v>0</v>
      </c>
      <c r="AO47" s="492">
        <f t="shared" si="73"/>
        <v>1041512</v>
      </c>
      <c r="AP47" s="492">
        <f t="shared" si="73"/>
        <v>30814</v>
      </c>
      <c r="AQ47" s="492">
        <f t="shared" si="73"/>
        <v>0</v>
      </c>
      <c r="AR47" s="626">
        <f>N47+AK47</f>
        <v>5.6980000000000004</v>
      </c>
    </row>
    <row r="48" spans="1:44" ht="12.95" customHeight="1" x14ac:dyDescent="0.25">
      <c r="A48" s="144">
        <v>11</v>
      </c>
      <c r="B48" s="44">
        <v>5456</v>
      </c>
      <c r="C48" s="44">
        <v>600099369</v>
      </c>
      <c r="D48" s="44">
        <v>854794</v>
      </c>
      <c r="E48" s="297" t="s">
        <v>456</v>
      </c>
      <c r="F48" s="44"/>
      <c r="G48" s="310"/>
      <c r="H48" s="131"/>
      <c r="I48" s="667">
        <f t="shared" ref="I48:AR48" si="77">SUM(I44:I47)</f>
        <v>54122000</v>
      </c>
      <c r="J48" s="572">
        <f t="shared" si="77"/>
        <v>40149851</v>
      </c>
      <c r="K48" s="351">
        <f t="shared" si="77"/>
        <v>13570650</v>
      </c>
      <c r="L48" s="351">
        <f t="shared" si="77"/>
        <v>401499</v>
      </c>
      <c r="M48" s="572">
        <f t="shared" si="77"/>
        <v>0</v>
      </c>
      <c r="N48" s="767">
        <f t="shared" si="77"/>
        <v>55.514000000000003</v>
      </c>
      <c r="O48" s="672">
        <f t="shared" si="77"/>
        <v>-69000</v>
      </c>
      <c r="P48" s="466">
        <f t="shared" si="77"/>
        <v>4701787</v>
      </c>
      <c r="Q48" s="351">
        <f t="shared" si="77"/>
        <v>43785</v>
      </c>
      <c r="R48" s="351">
        <f t="shared" si="77"/>
        <v>0</v>
      </c>
      <c r="S48" s="351">
        <f t="shared" si="77"/>
        <v>0</v>
      </c>
      <c r="T48" s="351">
        <f t="shared" si="77"/>
        <v>0</v>
      </c>
      <c r="U48" s="351">
        <f t="shared" si="77"/>
        <v>4676572</v>
      </c>
      <c r="V48" s="351">
        <f t="shared" si="77"/>
        <v>69000</v>
      </c>
      <c r="W48" s="351">
        <f t="shared" si="77"/>
        <v>0</v>
      </c>
      <c r="X48" s="351">
        <f t="shared" si="77"/>
        <v>0</v>
      </c>
      <c r="Y48" s="351">
        <f t="shared" si="77"/>
        <v>69000</v>
      </c>
      <c r="Z48" s="351">
        <f t="shared" si="77"/>
        <v>4745572</v>
      </c>
      <c r="AA48" s="351">
        <f t="shared" si="77"/>
        <v>1604003</v>
      </c>
      <c r="AB48" s="351">
        <f t="shared" si="77"/>
        <v>46766</v>
      </c>
      <c r="AC48" s="351">
        <f t="shared" si="77"/>
        <v>0</v>
      </c>
      <c r="AD48" s="845">
        <f t="shared" si="77"/>
        <v>6396341</v>
      </c>
      <c r="AE48" s="853">
        <f t="shared" si="77"/>
        <v>-0.06</v>
      </c>
      <c r="AF48" s="768">
        <f t="shared" si="77"/>
        <v>11.82</v>
      </c>
      <c r="AG48" s="768">
        <f t="shared" si="77"/>
        <v>0</v>
      </c>
      <c r="AH48" s="768">
        <f t="shared" si="77"/>
        <v>7.0000000000000007E-2</v>
      </c>
      <c r="AI48" s="352">
        <f t="shared" si="77"/>
        <v>0</v>
      </c>
      <c r="AJ48" s="352">
        <f t="shared" si="77"/>
        <v>0</v>
      </c>
      <c r="AK48" s="204">
        <f t="shared" si="77"/>
        <v>11.83</v>
      </c>
      <c r="AL48" s="672">
        <f t="shared" si="77"/>
        <v>60518341</v>
      </c>
      <c r="AM48" s="466">
        <f t="shared" si="77"/>
        <v>44826423</v>
      </c>
      <c r="AN48" s="351">
        <f t="shared" si="77"/>
        <v>69000</v>
      </c>
      <c r="AO48" s="351">
        <f t="shared" si="77"/>
        <v>15174653</v>
      </c>
      <c r="AP48" s="351">
        <f t="shared" si="77"/>
        <v>448265</v>
      </c>
      <c r="AQ48" s="351">
        <f t="shared" si="77"/>
        <v>0</v>
      </c>
      <c r="AR48" s="204">
        <f t="shared" si="77"/>
        <v>67.343999999999994</v>
      </c>
    </row>
    <row r="49" spans="1:44" ht="12.95" customHeight="1" x14ac:dyDescent="0.25">
      <c r="A49" s="205">
        <v>12</v>
      </c>
      <c r="B49" s="143">
        <v>5481</v>
      </c>
      <c r="C49" s="143">
        <v>600099075</v>
      </c>
      <c r="D49" s="143">
        <v>72742739</v>
      </c>
      <c r="E49" s="295" t="s">
        <v>457</v>
      </c>
      <c r="F49" s="143">
        <v>3117</v>
      </c>
      <c r="G49" s="295" t="s">
        <v>294</v>
      </c>
      <c r="H49" s="210" t="s">
        <v>262</v>
      </c>
      <c r="I49" s="586">
        <f t="shared" si="10"/>
        <v>6164237</v>
      </c>
      <c r="J49" s="490">
        <v>4572876</v>
      </c>
      <c r="K49" s="55">
        <f t="shared" si="11"/>
        <v>1545632</v>
      </c>
      <c r="L49" s="55">
        <f t="shared" si="12"/>
        <v>45729</v>
      </c>
      <c r="M49" s="490">
        <v>0</v>
      </c>
      <c r="N49" s="752">
        <v>6.3636999999999997</v>
      </c>
      <c r="O49" s="555">
        <f>V49*-1</f>
        <v>-29220</v>
      </c>
      <c r="P49" s="578">
        <v>0</v>
      </c>
      <c r="Q49" s="325">
        <v>0</v>
      </c>
      <c r="R49" s="325">
        <v>0</v>
      </c>
      <c r="S49" s="325">
        <v>0</v>
      </c>
      <c r="T49" s="325">
        <v>0</v>
      </c>
      <c r="U49" s="492">
        <f>O49+P49+Q49+R49+S49+T49</f>
        <v>-29220</v>
      </c>
      <c r="V49" s="325">
        <v>29220</v>
      </c>
      <c r="W49" s="325">
        <v>0</v>
      </c>
      <c r="X49" s="325">
        <v>0</v>
      </c>
      <c r="Y49" s="492">
        <f t="shared" ref="Y49:Y51" si="78">V49+W49+X49</f>
        <v>29220</v>
      </c>
      <c r="Z49" s="492">
        <f t="shared" ref="Z49:Z51" si="79">U49+Y49</f>
        <v>0</v>
      </c>
      <c r="AA49" s="494">
        <f t="shared" ref="AA49:AA51" si="80">ROUND((U49+Y49)*33.8%,0)</f>
        <v>0</v>
      </c>
      <c r="AB49" s="494">
        <f t="shared" ref="AB49:AB51" si="81">ROUND(U49*1%,0)</f>
        <v>-292</v>
      </c>
      <c r="AC49" s="492">
        <v>0</v>
      </c>
      <c r="AD49" s="789">
        <f t="shared" ref="AD49:AD51" si="82">Z49+AA49+AB49+AC49</f>
        <v>-292</v>
      </c>
      <c r="AE49" s="851">
        <v>-0.01</v>
      </c>
      <c r="AF49" s="764">
        <v>0</v>
      </c>
      <c r="AG49" s="763">
        <v>0</v>
      </c>
      <c r="AH49" s="763">
        <v>0</v>
      </c>
      <c r="AI49" s="326">
        <v>0</v>
      </c>
      <c r="AJ49" s="326">
        <v>0</v>
      </c>
      <c r="AK49" s="626">
        <f>SUM(AE49:AJ49)</f>
        <v>-0.01</v>
      </c>
      <c r="AL49" s="696">
        <f>I49+AD49</f>
        <v>6163945</v>
      </c>
      <c r="AM49" s="492">
        <f>J49+U49</f>
        <v>4543656</v>
      </c>
      <c r="AN49" s="492">
        <f>Y49</f>
        <v>29220</v>
      </c>
      <c r="AO49" s="492">
        <f t="shared" ref="AO49:AQ51" si="83">K49+AA49</f>
        <v>1545632</v>
      </c>
      <c r="AP49" s="492">
        <f t="shared" si="83"/>
        <v>45437</v>
      </c>
      <c r="AQ49" s="492">
        <f t="shared" si="83"/>
        <v>0</v>
      </c>
      <c r="AR49" s="626">
        <f>N49+AK49</f>
        <v>6.3536999999999999</v>
      </c>
    </row>
    <row r="50" spans="1:44" ht="12.95" customHeight="1" x14ac:dyDescent="0.25">
      <c r="A50" s="205">
        <v>12</v>
      </c>
      <c r="B50" s="143">
        <v>5481</v>
      </c>
      <c r="C50" s="143">
        <v>600099075</v>
      </c>
      <c r="D50" s="143">
        <v>72742739</v>
      </c>
      <c r="E50" s="142" t="s">
        <v>457</v>
      </c>
      <c r="F50" s="143">
        <v>3117</v>
      </c>
      <c r="G50" s="248" t="s">
        <v>278</v>
      </c>
      <c r="H50" s="210" t="s">
        <v>263</v>
      </c>
      <c r="I50" s="586">
        <f t="shared" si="10"/>
        <v>0</v>
      </c>
      <c r="J50" s="490">
        <v>0</v>
      </c>
      <c r="K50" s="55">
        <f t="shared" si="11"/>
        <v>0</v>
      </c>
      <c r="L50" s="55">
        <f t="shared" si="12"/>
        <v>0</v>
      </c>
      <c r="M50" s="490">
        <v>0</v>
      </c>
      <c r="N50" s="752">
        <v>0</v>
      </c>
      <c r="O50" s="327">
        <f>V50*-1</f>
        <v>0</v>
      </c>
      <c r="P50" s="578">
        <f>773954</f>
        <v>773954</v>
      </c>
      <c r="Q50" s="325">
        <v>0</v>
      </c>
      <c r="R50" s="325">
        <v>0</v>
      </c>
      <c r="S50" s="325">
        <v>0</v>
      </c>
      <c r="T50" s="325">
        <v>0</v>
      </c>
      <c r="U50" s="492">
        <f>O50+P50+Q50+R50+S50+T50</f>
        <v>773954</v>
      </c>
      <c r="V50" s="325">
        <v>0</v>
      </c>
      <c r="W50" s="325">
        <v>0</v>
      </c>
      <c r="X50" s="325">
        <v>0</v>
      </c>
      <c r="Y50" s="492">
        <f t="shared" si="78"/>
        <v>0</v>
      </c>
      <c r="Z50" s="492">
        <f t="shared" si="79"/>
        <v>773954</v>
      </c>
      <c r="AA50" s="494">
        <f t="shared" si="80"/>
        <v>261596</v>
      </c>
      <c r="AB50" s="494">
        <f t="shared" si="81"/>
        <v>7740</v>
      </c>
      <c r="AC50" s="492">
        <v>0</v>
      </c>
      <c r="AD50" s="789">
        <f t="shared" si="82"/>
        <v>1043290</v>
      </c>
      <c r="AE50" s="851">
        <v>0</v>
      </c>
      <c r="AF50" s="764">
        <f>1.9</f>
        <v>1.9</v>
      </c>
      <c r="AG50" s="763">
        <v>0</v>
      </c>
      <c r="AH50" s="763">
        <v>0</v>
      </c>
      <c r="AI50" s="326">
        <v>0</v>
      </c>
      <c r="AJ50" s="326">
        <v>0</v>
      </c>
      <c r="AK50" s="626">
        <f>SUM(AE50:AJ50)</f>
        <v>1.9</v>
      </c>
      <c r="AL50" s="696">
        <f>I50+AD50</f>
        <v>1043290</v>
      </c>
      <c r="AM50" s="492">
        <f>J50+U50</f>
        <v>773954</v>
      </c>
      <c r="AN50" s="492">
        <f>Y50</f>
        <v>0</v>
      </c>
      <c r="AO50" s="492">
        <f t="shared" si="83"/>
        <v>261596</v>
      </c>
      <c r="AP50" s="492">
        <f t="shared" si="83"/>
        <v>7740</v>
      </c>
      <c r="AQ50" s="492">
        <f t="shared" si="83"/>
        <v>0</v>
      </c>
      <c r="AR50" s="626">
        <f>N50+AK50</f>
        <v>1.9</v>
      </c>
    </row>
    <row r="51" spans="1:44" ht="12.95" customHeight="1" x14ac:dyDescent="0.25">
      <c r="A51" s="205">
        <v>12</v>
      </c>
      <c r="B51" s="143">
        <v>5481</v>
      </c>
      <c r="C51" s="143">
        <v>600099075</v>
      </c>
      <c r="D51" s="143">
        <v>72742739</v>
      </c>
      <c r="E51" s="142" t="s">
        <v>457</v>
      </c>
      <c r="F51" s="143">
        <v>3143</v>
      </c>
      <c r="G51" s="248" t="s">
        <v>794</v>
      </c>
      <c r="H51" s="210" t="s">
        <v>262</v>
      </c>
      <c r="I51" s="586">
        <f t="shared" si="10"/>
        <v>1124913</v>
      </c>
      <c r="J51" s="490">
        <v>834505</v>
      </c>
      <c r="K51" s="55">
        <f t="shared" si="11"/>
        <v>282063</v>
      </c>
      <c r="L51" s="55">
        <f t="shared" si="12"/>
        <v>8345</v>
      </c>
      <c r="M51" s="490">
        <v>0</v>
      </c>
      <c r="N51" s="752">
        <v>1.5</v>
      </c>
      <c r="O51" s="327">
        <f>V51*-1</f>
        <v>-15000</v>
      </c>
      <c r="P51" s="578">
        <v>0</v>
      </c>
      <c r="Q51" s="325">
        <v>0</v>
      </c>
      <c r="R51" s="325">
        <v>0</v>
      </c>
      <c r="S51" s="325">
        <v>0</v>
      </c>
      <c r="T51" s="325">
        <v>0</v>
      </c>
      <c r="U51" s="492">
        <f>O51+P51+Q51+R51+S51+T51</f>
        <v>-15000</v>
      </c>
      <c r="V51" s="325">
        <v>15000</v>
      </c>
      <c r="W51" s="325">
        <v>0</v>
      </c>
      <c r="X51" s="325">
        <v>0</v>
      </c>
      <c r="Y51" s="492">
        <f t="shared" si="78"/>
        <v>15000</v>
      </c>
      <c r="Z51" s="492">
        <f t="shared" si="79"/>
        <v>0</v>
      </c>
      <c r="AA51" s="494">
        <f t="shared" si="80"/>
        <v>0</v>
      </c>
      <c r="AB51" s="494">
        <f t="shared" si="81"/>
        <v>-150</v>
      </c>
      <c r="AC51" s="492">
        <v>0</v>
      </c>
      <c r="AD51" s="789">
        <f t="shared" si="82"/>
        <v>-150</v>
      </c>
      <c r="AE51" s="851">
        <v>0</v>
      </c>
      <c r="AF51" s="764">
        <v>0</v>
      </c>
      <c r="AG51" s="763">
        <v>0</v>
      </c>
      <c r="AH51" s="763">
        <v>0</v>
      </c>
      <c r="AI51" s="326">
        <v>0</v>
      </c>
      <c r="AJ51" s="326">
        <v>0</v>
      </c>
      <c r="AK51" s="626">
        <f>SUM(AE51:AJ51)</f>
        <v>0</v>
      </c>
      <c r="AL51" s="696">
        <f>I51+AD51</f>
        <v>1124763</v>
      </c>
      <c r="AM51" s="492">
        <f>J51+U51</f>
        <v>819505</v>
      </c>
      <c r="AN51" s="492">
        <f>Y51</f>
        <v>15000</v>
      </c>
      <c r="AO51" s="492">
        <f t="shared" si="83"/>
        <v>282063</v>
      </c>
      <c r="AP51" s="492">
        <f t="shared" si="83"/>
        <v>8195</v>
      </c>
      <c r="AQ51" s="492">
        <f t="shared" si="83"/>
        <v>0</v>
      </c>
      <c r="AR51" s="626">
        <f>N51+AK51</f>
        <v>1.5</v>
      </c>
    </row>
    <row r="52" spans="1:44" ht="12.95" customHeight="1" x14ac:dyDescent="0.25">
      <c r="A52" s="144">
        <v>12</v>
      </c>
      <c r="B52" s="41">
        <v>5481</v>
      </c>
      <c r="C52" s="41">
        <v>600099075</v>
      </c>
      <c r="D52" s="41">
        <v>72742739</v>
      </c>
      <c r="E52" s="297" t="s">
        <v>458</v>
      </c>
      <c r="F52" s="41"/>
      <c r="G52" s="297"/>
      <c r="H52" s="128"/>
      <c r="I52" s="669">
        <f t="shared" ref="I52:AR52" si="84">SUM(I49:I51)</f>
        <v>7289150</v>
      </c>
      <c r="J52" s="574">
        <f t="shared" si="84"/>
        <v>5407381</v>
      </c>
      <c r="K52" s="361">
        <f t="shared" si="84"/>
        <v>1827695</v>
      </c>
      <c r="L52" s="361">
        <f t="shared" si="84"/>
        <v>54074</v>
      </c>
      <c r="M52" s="574">
        <f t="shared" si="84"/>
        <v>0</v>
      </c>
      <c r="N52" s="774">
        <f t="shared" si="84"/>
        <v>7.8636999999999997</v>
      </c>
      <c r="O52" s="674">
        <f t="shared" si="84"/>
        <v>-44220</v>
      </c>
      <c r="P52" s="468">
        <f t="shared" si="84"/>
        <v>773954</v>
      </c>
      <c r="Q52" s="361">
        <f t="shared" si="84"/>
        <v>0</v>
      </c>
      <c r="R52" s="361">
        <f t="shared" si="84"/>
        <v>0</v>
      </c>
      <c r="S52" s="361">
        <f t="shared" si="84"/>
        <v>0</v>
      </c>
      <c r="T52" s="361">
        <f t="shared" si="84"/>
        <v>0</v>
      </c>
      <c r="U52" s="361">
        <f t="shared" si="84"/>
        <v>729734</v>
      </c>
      <c r="V52" s="361">
        <f t="shared" si="84"/>
        <v>44220</v>
      </c>
      <c r="W52" s="361">
        <f t="shared" si="84"/>
        <v>0</v>
      </c>
      <c r="X52" s="361">
        <f t="shared" si="84"/>
        <v>0</v>
      </c>
      <c r="Y52" s="361">
        <f t="shared" si="84"/>
        <v>44220</v>
      </c>
      <c r="Z52" s="361">
        <f t="shared" si="84"/>
        <v>773954</v>
      </c>
      <c r="AA52" s="361">
        <f t="shared" si="84"/>
        <v>261596</v>
      </c>
      <c r="AB52" s="361">
        <f t="shared" si="84"/>
        <v>7298</v>
      </c>
      <c r="AC52" s="361">
        <f t="shared" si="84"/>
        <v>0</v>
      </c>
      <c r="AD52" s="847">
        <f t="shared" si="84"/>
        <v>1042848</v>
      </c>
      <c r="AE52" s="856">
        <f t="shared" si="84"/>
        <v>-0.01</v>
      </c>
      <c r="AF52" s="775">
        <f t="shared" si="84"/>
        <v>1.9</v>
      </c>
      <c r="AG52" s="775">
        <f t="shared" si="84"/>
        <v>0</v>
      </c>
      <c r="AH52" s="775">
        <f t="shared" si="84"/>
        <v>0</v>
      </c>
      <c r="AI52" s="362">
        <f t="shared" si="84"/>
        <v>0</v>
      </c>
      <c r="AJ52" s="362">
        <f t="shared" si="84"/>
        <v>0</v>
      </c>
      <c r="AK52" s="276">
        <f t="shared" si="84"/>
        <v>1.89</v>
      </c>
      <c r="AL52" s="674">
        <f t="shared" si="84"/>
        <v>8331998</v>
      </c>
      <c r="AM52" s="468">
        <f t="shared" si="84"/>
        <v>6137115</v>
      </c>
      <c r="AN52" s="361">
        <f t="shared" si="84"/>
        <v>44220</v>
      </c>
      <c r="AO52" s="361">
        <f t="shared" si="84"/>
        <v>2089291</v>
      </c>
      <c r="AP52" s="361">
        <f t="shared" si="84"/>
        <v>61372</v>
      </c>
      <c r="AQ52" s="361">
        <f t="shared" si="84"/>
        <v>0</v>
      </c>
      <c r="AR52" s="276">
        <f t="shared" si="84"/>
        <v>9.7537000000000003</v>
      </c>
    </row>
    <row r="53" spans="1:44" ht="12.95" customHeight="1" x14ac:dyDescent="0.25">
      <c r="A53" s="205">
        <v>13</v>
      </c>
      <c r="B53" s="143">
        <v>5492</v>
      </c>
      <c r="C53" s="143">
        <v>691007322</v>
      </c>
      <c r="D53" s="143">
        <v>71294180</v>
      </c>
      <c r="E53" s="142" t="s">
        <v>459</v>
      </c>
      <c r="F53" s="143">
        <v>3114</v>
      </c>
      <c r="G53" s="256" t="s">
        <v>511</v>
      </c>
      <c r="H53" s="210" t="s">
        <v>262</v>
      </c>
      <c r="I53" s="586">
        <f t="shared" si="10"/>
        <v>14023692</v>
      </c>
      <c r="J53" s="490">
        <v>10403332</v>
      </c>
      <c r="K53" s="55">
        <f>ROUND(J53*33.8%,0)+1</f>
        <v>3516327</v>
      </c>
      <c r="L53" s="55">
        <f t="shared" si="12"/>
        <v>104033</v>
      </c>
      <c r="M53" s="490">
        <v>0</v>
      </c>
      <c r="N53" s="752">
        <v>13.090999999999999</v>
      </c>
      <c r="O53" s="555">
        <f>V53*-1</f>
        <v>0</v>
      </c>
      <c r="P53" s="578">
        <v>0</v>
      </c>
      <c r="Q53" s="325">
        <v>0</v>
      </c>
      <c r="R53" s="325">
        <v>0</v>
      </c>
      <c r="S53" s="325">
        <v>0</v>
      </c>
      <c r="T53" s="325">
        <v>0</v>
      </c>
      <c r="U53" s="492">
        <f>O53+P53+Q53+R53+S53+T53</f>
        <v>0</v>
      </c>
      <c r="V53" s="325">
        <v>0</v>
      </c>
      <c r="W53" s="325">
        <v>0</v>
      </c>
      <c r="X53" s="325">
        <v>0</v>
      </c>
      <c r="Y53" s="492">
        <f t="shared" ref="Y53:Y55" si="85">V53+W53+X53</f>
        <v>0</v>
      </c>
      <c r="Z53" s="492">
        <f t="shared" ref="Z53:Z55" si="86">U53+Y53</f>
        <v>0</v>
      </c>
      <c r="AA53" s="494">
        <f t="shared" ref="AA53:AA55" si="87">ROUND((U53+Y53)*33.8%,0)</f>
        <v>0</v>
      </c>
      <c r="AB53" s="494">
        <f t="shared" ref="AB53:AB55" si="88">ROUND(U53*1%,0)</f>
        <v>0</v>
      </c>
      <c r="AC53" s="492">
        <v>0</v>
      </c>
      <c r="AD53" s="789">
        <f t="shared" ref="AD53:AD55" si="89">Z53+AA53+AB53+AC53</f>
        <v>0</v>
      </c>
      <c r="AE53" s="851">
        <v>0</v>
      </c>
      <c r="AF53" s="764">
        <v>0</v>
      </c>
      <c r="AG53" s="763">
        <v>0</v>
      </c>
      <c r="AH53" s="763">
        <v>0</v>
      </c>
      <c r="AI53" s="326">
        <v>0</v>
      </c>
      <c r="AJ53" s="326">
        <v>0</v>
      </c>
      <c r="AK53" s="626">
        <f>SUM(AE53:AJ53)</f>
        <v>0</v>
      </c>
      <c r="AL53" s="696">
        <f>I53+AD53</f>
        <v>14023692</v>
      </c>
      <c r="AM53" s="492">
        <f>J53+U53</f>
        <v>10403332</v>
      </c>
      <c r="AN53" s="492">
        <f>Y53</f>
        <v>0</v>
      </c>
      <c r="AO53" s="492">
        <f t="shared" ref="AO53:AQ55" si="90">K53+AA53</f>
        <v>3516327</v>
      </c>
      <c r="AP53" s="492">
        <f t="shared" si="90"/>
        <v>104033</v>
      </c>
      <c r="AQ53" s="492">
        <f t="shared" si="90"/>
        <v>0</v>
      </c>
      <c r="AR53" s="626">
        <f>N53+AK53</f>
        <v>13.090999999999999</v>
      </c>
    </row>
    <row r="54" spans="1:44" ht="12.95" customHeight="1" x14ac:dyDescent="0.25">
      <c r="A54" s="205">
        <v>13</v>
      </c>
      <c r="B54" s="143">
        <v>5492</v>
      </c>
      <c r="C54" s="143">
        <v>691007322</v>
      </c>
      <c r="D54" s="143">
        <v>71294180</v>
      </c>
      <c r="E54" s="142" t="s">
        <v>459</v>
      </c>
      <c r="F54" s="143">
        <v>3114</v>
      </c>
      <c r="G54" s="256" t="s">
        <v>279</v>
      </c>
      <c r="H54" s="210" t="s">
        <v>262</v>
      </c>
      <c r="I54" s="586">
        <f t="shared" si="10"/>
        <v>2528749</v>
      </c>
      <c r="J54" s="490">
        <v>1875927</v>
      </c>
      <c r="K54" s="55">
        <f t="shared" si="11"/>
        <v>634063</v>
      </c>
      <c r="L54" s="55">
        <f t="shared" si="12"/>
        <v>18759</v>
      </c>
      <c r="M54" s="490">
        <v>0</v>
      </c>
      <c r="N54" s="752">
        <v>4.1668000000000003</v>
      </c>
      <c r="O54" s="327">
        <f>V54*-1</f>
        <v>0</v>
      </c>
      <c r="P54" s="578">
        <v>0</v>
      </c>
      <c r="Q54" s="325">
        <v>0</v>
      </c>
      <c r="R54" s="325">
        <v>0</v>
      </c>
      <c r="S54" s="325">
        <v>0</v>
      </c>
      <c r="T54" s="325">
        <v>0</v>
      </c>
      <c r="U54" s="492">
        <f>O54+P54+Q54+R54+S54+T54</f>
        <v>0</v>
      </c>
      <c r="V54" s="325">
        <v>0</v>
      </c>
      <c r="W54" s="325">
        <v>0</v>
      </c>
      <c r="X54" s="325">
        <v>0</v>
      </c>
      <c r="Y54" s="492">
        <f t="shared" si="85"/>
        <v>0</v>
      </c>
      <c r="Z54" s="492">
        <f t="shared" si="86"/>
        <v>0</v>
      </c>
      <c r="AA54" s="494">
        <f t="shared" si="87"/>
        <v>0</v>
      </c>
      <c r="AB54" s="494">
        <f t="shared" si="88"/>
        <v>0</v>
      </c>
      <c r="AC54" s="492">
        <v>0</v>
      </c>
      <c r="AD54" s="789">
        <f t="shared" si="89"/>
        <v>0</v>
      </c>
      <c r="AE54" s="851">
        <v>0</v>
      </c>
      <c r="AF54" s="764">
        <v>0</v>
      </c>
      <c r="AG54" s="763">
        <v>0</v>
      </c>
      <c r="AH54" s="763">
        <v>0</v>
      </c>
      <c r="AI54" s="326">
        <v>0</v>
      </c>
      <c r="AJ54" s="326">
        <v>0</v>
      </c>
      <c r="AK54" s="626">
        <f>SUM(AE54:AJ54)</f>
        <v>0</v>
      </c>
      <c r="AL54" s="696">
        <f>I54+AD54</f>
        <v>2528749</v>
      </c>
      <c r="AM54" s="492">
        <f>J54+U54</f>
        <v>1875927</v>
      </c>
      <c r="AN54" s="492">
        <f>Y54</f>
        <v>0</v>
      </c>
      <c r="AO54" s="492">
        <f t="shared" si="90"/>
        <v>634063</v>
      </c>
      <c r="AP54" s="492">
        <f t="shared" si="90"/>
        <v>18759</v>
      </c>
      <c r="AQ54" s="492">
        <f t="shared" si="90"/>
        <v>0</v>
      </c>
      <c r="AR54" s="626">
        <f>N54+AK54</f>
        <v>4.1668000000000003</v>
      </c>
    </row>
    <row r="55" spans="1:44" ht="12.95" customHeight="1" x14ac:dyDescent="0.25">
      <c r="A55" s="205">
        <v>13</v>
      </c>
      <c r="B55" s="143">
        <v>5492</v>
      </c>
      <c r="C55" s="143">
        <v>691007322</v>
      </c>
      <c r="D55" s="143">
        <v>71294180</v>
      </c>
      <c r="E55" s="295" t="s">
        <v>459</v>
      </c>
      <c r="F55" s="143">
        <v>3143</v>
      </c>
      <c r="G55" s="248" t="s">
        <v>795</v>
      </c>
      <c r="H55" s="210" t="s">
        <v>262</v>
      </c>
      <c r="I55" s="586">
        <f t="shared" si="10"/>
        <v>1025518</v>
      </c>
      <c r="J55" s="490">
        <v>760770</v>
      </c>
      <c r="K55" s="55">
        <f t="shared" si="11"/>
        <v>257140</v>
      </c>
      <c r="L55" s="55">
        <f t="shared" si="12"/>
        <v>7608</v>
      </c>
      <c r="M55" s="490">
        <v>0</v>
      </c>
      <c r="N55" s="752">
        <v>1.4664999999999999</v>
      </c>
      <c r="O55" s="327">
        <f>V55*-1</f>
        <v>0</v>
      </c>
      <c r="P55" s="578">
        <v>0</v>
      </c>
      <c r="Q55" s="325">
        <v>0</v>
      </c>
      <c r="R55" s="325">
        <v>0</v>
      </c>
      <c r="S55" s="325">
        <v>0</v>
      </c>
      <c r="T55" s="325">
        <v>0</v>
      </c>
      <c r="U55" s="492">
        <f>O55+P55+Q55+R55+S55+T55</f>
        <v>0</v>
      </c>
      <c r="V55" s="325">
        <v>0</v>
      </c>
      <c r="W55" s="325">
        <v>0</v>
      </c>
      <c r="X55" s="325">
        <v>0</v>
      </c>
      <c r="Y55" s="492">
        <f t="shared" si="85"/>
        <v>0</v>
      </c>
      <c r="Z55" s="492">
        <f t="shared" si="86"/>
        <v>0</v>
      </c>
      <c r="AA55" s="494">
        <f t="shared" si="87"/>
        <v>0</v>
      </c>
      <c r="AB55" s="494">
        <f t="shared" si="88"/>
        <v>0</v>
      </c>
      <c r="AC55" s="492">
        <v>0</v>
      </c>
      <c r="AD55" s="789">
        <f t="shared" si="89"/>
        <v>0</v>
      </c>
      <c r="AE55" s="851">
        <v>0</v>
      </c>
      <c r="AF55" s="764">
        <v>0</v>
      </c>
      <c r="AG55" s="763">
        <v>0</v>
      </c>
      <c r="AH55" s="763">
        <v>0</v>
      </c>
      <c r="AI55" s="326">
        <v>0</v>
      </c>
      <c r="AJ55" s="326">
        <v>0</v>
      </c>
      <c r="AK55" s="626">
        <f>SUM(AE55:AJ55)</f>
        <v>0</v>
      </c>
      <c r="AL55" s="696">
        <f>I55+AD55</f>
        <v>1025518</v>
      </c>
      <c r="AM55" s="492">
        <f>J55+U55</f>
        <v>760770</v>
      </c>
      <c r="AN55" s="492">
        <f>Y55</f>
        <v>0</v>
      </c>
      <c r="AO55" s="492">
        <f t="shared" si="90"/>
        <v>257140</v>
      </c>
      <c r="AP55" s="492">
        <f t="shared" si="90"/>
        <v>7608</v>
      </c>
      <c r="AQ55" s="492">
        <f t="shared" si="90"/>
        <v>0</v>
      </c>
      <c r="AR55" s="626">
        <f>N55+AK55</f>
        <v>1.4664999999999999</v>
      </c>
    </row>
    <row r="56" spans="1:44" ht="12.95" customHeight="1" x14ac:dyDescent="0.25">
      <c r="A56" s="144">
        <v>13</v>
      </c>
      <c r="B56" s="41">
        <v>5492</v>
      </c>
      <c r="C56" s="41">
        <v>691007322</v>
      </c>
      <c r="D56" s="41">
        <v>71294180</v>
      </c>
      <c r="E56" s="297" t="s">
        <v>460</v>
      </c>
      <c r="F56" s="41"/>
      <c r="G56" s="297"/>
      <c r="H56" s="128"/>
      <c r="I56" s="669">
        <f t="shared" ref="I56:AR56" si="91">SUM(I53:I55)</f>
        <v>17577959</v>
      </c>
      <c r="J56" s="574">
        <f t="shared" si="91"/>
        <v>13040029</v>
      </c>
      <c r="K56" s="361">
        <f t="shared" si="91"/>
        <v>4407530</v>
      </c>
      <c r="L56" s="361">
        <f t="shared" si="91"/>
        <v>130400</v>
      </c>
      <c r="M56" s="574">
        <f t="shared" si="91"/>
        <v>0</v>
      </c>
      <c r="N56" s="774">
        <f t="shared" si="91"/>
        <v>18.724299999999999</v>
      </c>
      <c r="O56" s="674">
        <f t="shared" si="91"/>
        <v>0</v>
      </c>
      <c r="P56" s="468">
        <f t="shared" si="91"/>
        <v>0</v>
      </c>
      <c r="Q56" s="361">
        <f t="shared" si="91"/>
        <v>0</v>
      </c>
      <c r="R56" s="361">
        <f t="shared" si="91"/>
        <v>0</v>
      </c>
      <c r="S56" s="361">
        <f t="shared" si="91"/>
        <v>0</v>
      </c>
      <c r="T56" s="361">
        <f t="shared" si="91"/>
        <v>0</v>
      </c>
      <c r="U56" s="361">
        <f t="shared" si="91"/>
        <v>0</v>
      </c>
      <c r="V56" s="361">
        <f t="shared" si="91"/>
        <v>0</v>
      </c>
      <c r="W56" s="361">
        <f t="shared" si="91"/>
        <v>0</v>
      </c>
      <c r="X56" s="361">
        <f t="shared" si="91"/>
        <v>0</v>
      </c>
      <c r="Y56" s="361">
        <f t="shared" si="91"/>
        <v>0</v>
      </c>
      <c r="Z56" s="361">
        <f t="shared" si="91"/>
        <v>0</v>
      </c>
      <c r="AA56" s="361">
        <f t="shared" si="91"/>
        <v>0</v>
      </c>
      <c r="AB56" s="361">
        <f t="shared" si="91"/>
        <v>0</v>
      </c>
      <c r="AC56" s="361">
        <f t="shared" si="91"/>
        <v>0</v>
      </c>
      <c r="AD56" s="847">
        <f t="shared" si="91"/>
        <v>0</v>
      </c>
      <c r="AE56" s="856">
        <f t="shared" si="91"/>
        <v>0</v>
      </c>
      <c r="AF56" s="775">
        <f t="shared" si="91"/>
        <v>0</v>
      </c>
      <c r="AG56" s="775">
        <f t="shared" si="91"/>
        <v>0</v>
      </c>
      <c r="AH56" s="775">
        <f t="shared" si="91"/>
        <v>0</v>
      </c>
      <c r="AI56" s="362">
        <f t="shared" si="91"/>
        <v>0</v>
      </c>
      <c r="AJ56" s="362">
        <f t="shared" si="91"/>
        <v>0</v>
      </c>
      <c r="AK56" s="276">
        <f t="shared" si="91"/>
        <v>0</v>
      </c>
      <c r="AL56" s="674">
        <f t="shared" si="91"/>
        <v>17577959</v>
      </c>
      <c r="AM56" s="468">
        <f t="shared" si="91"/>
        <v>13040029</v>
      </c>
      <c r="AN56" s="361">
        <f t="shared" si="91"/>
        <v>0</v>
      </c>
      <c r="AO56" s="361">
        <f t="shared" si="91"/>
        <v>4407530</v>
      </c>
      <c r="AP56" s="361">
        <f t="shared" si="91"/>
        <v>130400</v>
      </c>
      <c r="AQ56" s="361">
        <f t="shared" si="91"/>
        <v>0</v>
      </c>
      <c r="AR56" s="276">
        <f t="shared" si="91"/>
        <v>18.724299999999999</v>
      </c>
    </row>
    <row r="57" spans="1:44" ht="12.95" customHeight="1" x14ac:dyDescent="0.25">
      <c r="A57" s="205">
        <v>14</v>
      </c>
      <c r="B57" s="143">
        <v>5457</v>
      </c>
      <c r="C57" s="143">
        <v>600099377</v>
      </c>
      <c r="D57" s="143">
        <v>855049</v>
      </c>
      <c r="E57" s="295" t="s">
        <v>461</v>
      </c>
      <c r="F57" s="143">
        <v>3113</v>
      </c>
      <c r="G57" s="295" t="s">
        <v>294</v>
      </c>
      <c r="H57" s="210" t="s">
        <v>262</v>
      </c>
      <c r="I57" s="586">
        <f t="shared" si="10"/>
        <v>42241445</v>
      </c>
      <c r="J57" s="490">
        <v>31336384</v>
      </c>
      <c r="K57" s="55">
        <f>ROUND(J57*33.8%,0)-1</f>
        <v>10591697</v>
      </c>
      <c r="L57" s="55">
        <f t="shared" si="12"/>
        <v>313364</v>
      </c>
      <c r="M57" s="490">
        <v>0</v>
      </c>
      <c r="N57" s="752">
        <v>41.845199999999998</v>
      </c>
      <c r="O57" s="555">
        <f t="shared" ref="O57:O61" si="92">V57*-1</f>
        <v>-30000</v>
      </c>
      <c r="P57" s="578">
        <v>0</v>
      </c>
      <c r="Q57" s="325">
        <v>0</v>
      </c>
      <c r="R57" s="325">
        <v>-748860</v>
      </c>
      <c r="S57" s="325">
        <v>0</v>
      </c>
      <c r="T57" s="325">
        <v>0</v>
      </c>
      <c r="U57" s="492">
        <f>O57+P57+Q57+R57+S57+T57</f>
        <v>-778860</v>
      </c>
      <c r="V57" s="325">
        <v>30000</v>
      </c>
      <c r="W57" s="325">
        <v>0</v>
      </c>
      <c r="X57" s="325">
        <v>0</v>
      </c>
      <c r="Y57" s="492">
        <f t="shared" ref="Y57:Y61" si="93">V57+W57+X57</f>
        <v>30000</v>
      </c>
      <c r="Z57" s="492">
        <f t="shared" ref="Z57:Z61" si="94">U57+Y57</f>
        <v>-748860</v>
      </c>
      <c r="AA57" s="494">
        <f t="shared" ref="AA57:AA61" si="95">ROUND((U57+Y57)*33.8%,0)</f>
        <v>-253115</v>
      </c>
      <c r="AB57" s="494">
        <f t="shared" ref="AB57:AB61" si="96">ROUND(U57*1%,0)</f>
        <v>-7789</v>
      </c>
      <c r="AC57" s="492">
        <v>0</v>
      </c>
      <c r="AD57" s="789">
        <f t="shared" ref="AD57:AD61" si="97">Z57+AA57+AB57+AC57</f>
        <v>-1009764</v>
      </c>
      <c r="AE57" s="851">
        <v>0</v>
      </c>
      <c r="AF57" s="764">
        <v>0</v>
      </c>
      <c r="AG57" s="763">
        <v>-1</v>
      </c>
      <c r="AH57" s="763">
        <v>0</v>
      </c>
      <c r="AI57" s="326">
        <v>0</v>
      </c>
      <c r="AJ57" s="326">
        <v>0</v>
      </c>
      <c r="AK57" s="626">
        <f>SUM(AE57:AJ57)</f>
        <v>-1</v>
      </c>
      <c r="AL57" s="696">
        <f>I57+AD57</f>
        <v>41231681</v>
      </c>
      <c r="AM57" s="492">
        <f>J57+U57</f>
        <v>30557524</v>
      </c>
      <c r="AN57" s="492">
        <f>Y57</f>
        <v>30000</v>
      </c>
      <c r="AO57" s="492">
        <f t="shared" ref="AO57:AQ61" si="98">K57+AA57</f>
        <v>10338582</v>
      </c>
      <c r="AP57" s="492">
        <f t="shared" si="98"/>
        <v>305575</v>
      </c>
      <c r="AQ57" s="492">
        <f t="shared" si="98"/>
        <v>0</v>
      </c>
      <c r="AR57" s="626">
        <f>N57+AK57</f>
        <v>40.845199999999998</v>
      </c>
    </row>
    <row r="58" spans="1:44" ht="12.95" customHeight="1" x14ac:dyDescent="0.25">
      <c r="A58" s="737">
        <v>14</v>
      </c>
      <c r="B58" s="771">
        <v>5457</v>
      </c>
      <c r="C58" s="771">
        <v>600099377</v>
      </c>
      <c r="D58" s="771">
        <v>855049</v>
      </c>
      <c r="E58" s="772" t="s">
        <v>461</v>
      </c>
      <c r="F58" s="771">
        <v>3113</v>
      </c>
      <c r="G58" s="772" t="s">
        <v>799</v>
      </c>
      <c r="H58" s="773" t="s">
        <v>262</v>
      </c>
      <c r="I58" s="586">
        <f t="shared" si="10"/>
        <v>820026</v>
      </c>
      <c r="J58" s="490">
        <v>608328</v>
      </c>
      <c r="K58" s="55">
        <f t="shared" si="11"/>
        <v>205615</v>
      </c>
      <c r="L58" s="55">
        <f t="shared" si="12"/>
        <v>6083</v>
      </c>
      <c r="M58" s="490">
        <v>0</v>
      </c>
      <c r="N58" s="752">
        <v>1</v>
      </c>
      <c r="O58" s="555">
        <f t="shared" si="92"/>
        <v>0</v>
      </c>
      <c r="P58" s="578">
        <v>0</v>
      </c>
      <c r="Q58" s="325">
        <v>0</v>
      </c>
      <c r="R58" s="325">
        <v>0</v>
      </c>
      <c r="S58" s="325">
        <v>0</v>
      </c>
      <c r="T58" s="325">
        <v>0</v>
      </c>
      <c r="U58" s="492">
        <f t="shared" ref="U58" si="99">O58+P58+Q58+R58+S58+T58</f>
        <v>0</v>
      </c>
      <c r="V58" s="325">
        <v>0</v>
      </c>
      <c r="W58" s="325">
        <v>0</v>
      </c>
      <c r="X58" s="325">
        <v>0</v>
      </c>
      <c r="Y58" s="492">
        <f>V58+W58+X58</f>
        <v>0</v>
      </c>
      <c r="Z58" s="492">
        <f>U58+Y58</f>
        <v>0</v>
      </c>
      <c r="AA58" s="494">
        <f>ROUND((U58+Y58)*33.8%,0)</f>
        <v>0</v>
      </c>
      <c r="AB58" s="494">
        <f t="shared" si="96"/>
        <v>0</v>
      </c>
      <c r="AC58" s="492">
        <v>0</v>
      </c>
      <c r="AD58" s="789">
        <f t="shared" si="97"/>
        <v>0</v>
      </c>
      <c r="AE58" s="851">
        <v>0</v>
      </c>
      <c r="AF58" s="764">
        <v>0</v>
      </c>
      <c r="AG58" s="763">
        <v>0</v>
      </c>
      <c r="AH58" s="763">
        <v>0</v>
      </c>
      <c r="AI58" s="326">
        <v>0</v>
      </c>
      <c r="AJ58" s="326">
        <v>0</v>
      </c>
      <c r="AK58" s="626">
        <f t="shared" ref="AK58" si="100">SUM(AE58:AJ58)</f>
        <v>0</v>
      </c>
      <c r="AL58" s="696">
        <f>I58+AD58</f>
        <v>820026</v>
      </c>
      <c r="AM58" s="492">
        <f>J58+U58</f>
        <v>608328</v>
      </c>
      <c r="AN58" s="492">
        <f>Y58</f>
        <v>0</v>
      </c>
      <c r="AO58" s="492">
        <f t="shared" si="98"/>
        <v>205615</v>
      </c>
      <c r="AP58" s="492">
        <f t="shared" si="98"/>
        <v>6083</v>
      </c>
      <c r="AQ58" s="492">
        <f t="shared" si="98"/>
        <v>0</v>
      </c>
      <c r="AR58" s="626">
        <f>N58+AK58</f>
        <v>1</v>
      </c>
    </row>
    <row r="59" spans="1:44" ht="12.95" customHeight="1" x14ac:dyDescent="0.25">
      <c r="A59" s="205">
        <v>14</v>
      </c>
      <c r="B59" s="143">
        <v>5457</v>
      </c>
      <c r="C59" s="143">
        <v>600099377</v>
      </c>
      <c r="D59" s="143">
        <v>855049</v>
      </c>
      <c r="E59" s="142" t="s">
        <v>461</v>
      </c>
      <c r="F59" s="143">
        <v>3113</v>
      </c>
      <c r="G59" s="248" t="s">
        <v>278</v>
      </c>
      <c r="H59" s="210" t="s">
        <v>263</v>
      </c>
      <c r="I59" s="586">
        <f t="shared" si="10"/>
        <v>0</v>
      </c>
      <c r="J59" s="490">
        <v>0</v>
      </c>
      <c r="K59" s="55">
        <f t="shared" si="11"/>
        <v>0</v>
      </c>
      <c r="L59" s="55">
        <f t="shared" si="12"/>
        <v>0</v>
      </c>
      <c r="M59" s="490">
        <v>0</v>
      </c>
      <c r="N59" s="752">
        <v>0</v>
      </c>
      <c r="O59" s="327">
        <f t="shared" si="92"/>
        <v>-6000</v>
      </c>
      <c r="P59" s="578">
        <f>3988906-370861</f>
        <v>3618045</v>
      </c>
      <c r="Q59" s="325">
        <v>0</v>
      </c>
      <c r="R59" s="325">
        <v>0</v>
      </c>
      <c r="S59" s="325">
        <v>0</v>
      </c>
      <c r="T59" s="325">
        <v>0</v>
      </c>
      <c r="U59" s="492">
        <f>O59+P59+Q59+R59+S59+T59</f>
        <v>3612045</v>
      </c>
      <c r="V59" s="325">
        <v>6000</v>
      </c>
      <c r="W59" s="325">
        <v>0</v>
      </c>
      <c r="X59" s="325">
        <v>0</v>
      </c>
      <c r="Y59" s="492">
        <f t="shared" si="93"/>
        <v>6000</v>
      </c>
      <c r="Z59" s="492">
        <f t="shared" si="94"/>
        <v>3618045</v>
      </c>
      <c r="AA59" s="494">
        <f t="shared" si="95"/>
        <v>1222899</v>
      </c>
      <c r="AB59" s="494">
        <f t="shared" si="96"/>
        <v>36120</v>
      </c>
      <c r="AC59" s="492">
        <v>0</v>
      </c>
      <c r="AD59" s="789">
        <f t="shared" si="97"/>
        <v>4877064</v>
      </c>
      <c r="AE59" s="851">
        <v>0</v>
      </c>
      <c r="AF59" s="764">
        <f>9.77-0.7</f>
        <v>9.07</v>
      </c>
      <c r="AG59" s="763">
        <v>0</v>
      </c>
      <c r="AH59" s="763">
        <v>0</v>
      </c>
      <c r="AI59" s="326">
        <v>0</v>
      </c>
      <c r="AJ59" s="326">
        <v>0</v>
      </c>
      <c r="AK59" s="626">
        <f>SUM(AE59:AJ59)</f>
        <v>9.07</v>
      </c>
      <c r="AL59" s="696">
        <f>I59+AD59</f>
        <v>4877064</v>
      </c>
      <c r="AM59" s="492">
        <f>J59+U59</f>
        <v>3612045</v>
      </c>
      <c r="AN59" s="492">
        <f>Y59</f>
        <v>6000</v>
      </c>
      <c r="AO59" s="492">
        <f t="shared" si="98"/>
        <v>1222899</v>
      </c>
      <c r="AP59" s="492">
        <f t="shared" si="98"/>
        <v>36120</v>
      </c>
      <c r="AQ59" s="492">
        <f t="shared" si="98"/>
        <v>0</v>
      </c>
      <c r="AR59" s="626">
        <f>N59+AK59</f>
        <v>9.07</v>
      </c>
    </row>
    <row r="60" spans="1:44" ht="12.95" customHeight="1" x14ac:dyDescent="0.25">
      <c r="A60" s="205">
        <v>14</v>
      </c>
      <c r="B60" s="143">
        <v>5457</v>
      </c>
      <c r="C60" s="143">
        <v>600099377</v>
      </c>
      <c r="D60" s="143">
        <v>855049</v>
      </c>
      <c r="E60" s="295" t="s">
        <v>461</v>
      </c>
      <c r="F60" s="143">
        <v>3143</v>
      </c>
      <c r="G60" s="248" t="s">
        <v>795</v>
      </c>
      <c r="H60" s="210" t="s">
        <v>262</v>
      </c>
      <c r="I60" s="586">
        <f t="shared" si="10"/>
        <v>3998988</v>
      </c>
      <c r="J60" s="490">
        <v>2966608</v>
      </c>
      <c r="K60" s="55">
        <f t="shared" si="11"/>
        <v>1002714</v>
      </c>
      <c r="L60" s="55">
        <f t="shared" si="12"/>
        <v>29666</v>
      </c>
      <c r="M60" s="490">
        <v>0</v>
      </c>
      <c r="N60" s="752">
        <v>5.3526999999999996</v>
      </c>
      <c r="O60" s="327">
        <f t="shared" si="92"/>
        <v>0</v>
      </c>
      <c r="P60" s="578">
        <v>0</v>
      </c>
      <c r="Q60" s="325">
        <v>0</v>
      </c>
      <c r="R60" s="325">
        <v>0</v>
      </c>
      <c r="S60" s="325">
        <v>0</v>
      </c>
      <c r="T60" s="325">
        <v>0</v>
      </c>
      <c r="U60" s="492">
        <f>O60+P60+Q60+R60+S60+T60</f>
        <v>0</v>
      </c>
      <c r="V60" s="325">
        <v>0</v>
      </c>
      <c r="W60" s="325">
        <v>0</v>
      </c>
      <c r="X60" s="325">
        <v>0</v>
      </c>
      <c r="Y60" s="492">
        <f t="shared" si="93"/>
        <v>0</v>
      </c>
      <c r="Z60" s="492">
        <f t="shared" si="94"/>
        <v>0</v>
      </c>
      <c r="AA60" s="494">
        <f t="shared" si="95"/>
        <v>0</v>
      </c>
      <c r="AB60" s="494">
        <f t="shared" si="96"/>
        <v>0</v>
      </c>
      <c r="AC60" s="492">
        <v>0</v>
      </c>
      <c r="AD60" s="789">
        <f t="shared" si="97"/>
        <v>0</v>
      </c>
      <c r="AE60" s="851">
        <v>0</v>
      </c>
      <c r="AF60" s="764">
        <v>0</v>
      </c>
      <c r="AG60" s="763">
        <v>0</v>
      </c>
      <c r="AH60" s="763">
        <v>0</v>
      </c>
      <c r="AI60" s="326">
        <v>0</v>
      </c>
      <c r="AJ60" s="326">
        <v>0</v>
      </c>
      <c r="AK60" s="626">
        <f>SUM(AE60:AJ60)</f>
        <v>0</v>
      </c>
      <c r="AL60" s="696">
        <f>I60+AD60</f>
        <v>3998988</v>
      </c>
      <c r="AM60" s="492">
        <f>J60+U60</f>
        <v>2966608</v>
      </c>
      <c r="AN60" s="492">
        <f>Y60</f>
        <v>0</v>
      </c>
      <c r="AO60" s="492">
        <f t="shared" si="98"/>
        <v>1002714</v>
      </c>
      <c r="AP60" s="492">
        <f t="shared" si="98"/>
        <v>29666</v>
      </c>
      <c r="AQ60" s="492">
        <f t="shared" si="98"/>
        <v>0</v>
      </c>
      <c r="AR60" s="626">
        <f>N60+AK60</f>
        <v>5.3526999999999996</v>
      </c>
    </row>
    <row r="61" spans="1:44" ht="12.95" customHeight="1" x14ac:dyDescent="0.25">
      <c r="A61" s="205">
        <v>14</v>
      </c>
      <c r="B61" s="143">
        <v>5457</v>
      </c>
      <c r="C61" s="143">
        <v>600099377</v>
      </c>
      <c r="D61" s="143">
        <v>855049</v>
      </c>
      <c r="E61" s="142" t="s">
        <v>461</v>
      </c>
      <c r="F61" s="143">
        <v>3143</v>
      </c>
      <c r="G61" s="248" t="s">
        <v>282</v>
      </c>
      <c r="H61" s="210" t="s">
        <v>263</v>
      </c>
      <c r="I61" s="586">
        <f t="shared" si="10"/>
        <v>727699</v>
      </c>
      <c r="J61" s="490">
        <v>539836</v>
      </c>
      <c r="K61" s="55">
        <f t="shared" si="11"/>
        <v>182465</v>
      </c>
      <c r="L61" s="55">
        <f t="shared" si="12"/>
        <v>5398</v>
      </c>
      <c r="M61" s="490">
        <v>0</v>
      </c>
      <c r="N61" s="752">
        <v>1</v>
      </c>
      <c r="O61" s="327">
        <f t="shared" si="92"/>
        <v>0</v>
      </c>
      <c r="P61" s="578">
        <v>0</v>
      </c>
      <c r="Q61" s="325">
        <v>0</v>
      </c>
      <c r="R61" s="325">
        <v>0</v>
      </c>
      <c r="S61" s="325">
        <v>0</v>
      </c>
      <c r="T61" s="325">
        <v>0</v>
      </c>
      <c r="U61" s="492">
        <f>O61+P61+Q61+R61+S61+T61</f>
        <v>0</v>
      </c>
      <c r="V61" s="325">
        <v>0</v>
      </c>
      <c r="W61" s="325">
        <v>0</v>
      </c>
      <c r="X61" s="325">
        <v>0</v>
      </c>
      <c r="Y61" s="492">
        <f t="shared" si="93"/>
        <v>0</v>
      </c>
      <c r="Z61" s="492">
        <f t="shared" si="94"/>
        <v>0</v>
      </c>
      <c r="AA61" s="494">
        <f t="shared" si="95"/>
        <v>0</v>
      </c>
      <c r="AB61" s="494">
        <f t="shared" si="96"/>
        <v>0</v>
      </c>
      <c r="AC61" s="492">
        <v>0</v>
      </c>
      <c r="AD61" s="789">
        <f t="shared" si="97"/>
        <v>0</v>
      </c>
      <c r="AE61" s="851">
        <v>0</v>
      </c>
      <c r="AF61" s="764">
        <v>0</v>
      </c>
      <c r="AG61" s="763">
        <v>0</v>
      </c>
      <c r="AH61" s="763">
        <v>0</v>
      </c>
      <c r="AI61" s="326">
        <v>0</v>
      </c>
      <c r="AJ61" s="326">
        <v>0</v>
      </c>
      <c r="AK61" s="626">
        <f>SUM(AE61:AJ61)</f>
        <v>0</v>
      </c>
      <c r="AL61" s="696">
        <f>I61+AD61</f>
        <v>727699</v>
      </c>
      <c r="AM61" s="492">
        <f>J61+U61</f>
        <v>539836</v>
      </c>
      <c r="AN61" s="492">
        <f>Y61</f>
        <v>0</v>
      </c>
      <c r="AO61" s="492">
        <f t="shared" si="98"/>
        <v>182465</v>
      </c>
      <c r="AP61" s="492">
        <f t="shared" si="98"/>
        <v>5398</v>
      </c>
      <c r="AQ61" s="492">
        <f t="shared" si="98"/>
        <v>0</v>
      </c>
      <c r="AR61" s="626">
        <f>N61+AK61</f>
        <v>1</v>
      </c>
    </row>
    <row r="62" spans="1:44" ht="12.95" customHeight="1" x14ac:dyDescent="0.25">
      <c r="A62" s="144">
        <v>14</v>
      </c>
      <c r="B62" s="44">
        <v>5457</v>
      </c>
      <c r="C62" s="44">
        <v>600099377</v>
      </c>
      <c r="D62" s="44">
        <v>855049</v>
      </c>
      <c r="E62" s="297" t="s">
        <v>462</v>
      </c>
      <c r="F62" s="44"/>
      <c r="G62" s="310"/>
      <c r="H62" s="131"/>
      <c r="I62" s="666">
        <f>SUM(I57:I61)</f>
        <v>47788158</v>
      </c>
      <c r="J62" s="571">
        <f>SUM(J57:J61)</f>
        <v>35451156</v>
      </c>
      <c r="K62" s="366">
        <f t="shared" ref="K62:M62" si="101">SUM(K57:K61)</f>
        <v>11982491</v>
      </c>
      <c r="L62" s="366">
        <f t="shared" si="101"/>
        <v>354511</v>
      </c>
      <c r="M62" s="571">
        <f t="shared" si="101"/>
        <v>0</v>
      </c>
      <c r="N62" s="765">
        <f>SUM(N57:N61)</f>
        <v>49.197899999999997</v>
      </c>
      <c r="O62" s="671">
        <f t="shared" ref="O62:AR62" si="102">SUM(O57:O61)</f>
        <v>-36000</v>
      </c>
      <c r="P62" s="465">
        <f t="shared" si="102"/>
        <v>3618045</v>
      </c>
      <c r="Q62" s="366">
        <f t="shared" si="102"/>
        <v>0</v>
      </c>
      <c r="R62" s="366">
        <f t="shared" si="102"/>
        <v>-748860</v>
      </c>
      <c r="S62" s="366">
        <f t="shared" si="102"/>
        <v>0</v>
      </c>
      <c r="T62" s="366">
        <f t="shared" si="102"/>
        <v>0</v>
      </c>
      <c r="U62" s="366">
        <f t="shared" si="102"/>
        <v>2833185</v>
      </c>
      <c r="V62" s="366">
        <f t="shared" si="102"/>
        <v>36000</v>
      </c>
      <c r="W62" s="366">
        <f t="shared" si="102"/>
        <v>0</v>
      </c>
      <c r="X62" s="366">
        <f t="shared" si="102"/>
        <v>0</v>
      </c>
      <c r="Y62" s="366">
        <f t="shared" si="102"/>
        <v>36000</v>
      </c>
      <c r="Z62" s="366">
        <f t="shared" si="102"/>
        <v>2869185</v>
      </c>
      <c r="AA62" s="366">
        <f t="shared" si="102"/>
        <v>969784</v>
      </c>
      <c r="AB62" s="366">
        <f t="shared" si="102"/>
        <v>28331</v>
      </c>
      <c r="AC62" s="366">
        <f t="shared" si="102"/>
        <v>0</v>
      </c>
      <c r="AD62" s="844">
        <f t="shared" si="102"/>
        <v>3867300</v>
      </c>
      <c r="AE62" s="852">
        <f t="shared" si="102"/>
        <v>0</v>
      </c>
      <c r="AF62" s="766">
        <f t="shared" si="102"/>
        <v>9.07</v>
      </c>
      <c r="AG62" s="766">
        <f t="shared" si="102"/>
        <v>-1</v>
      </c>
      <c r="AH62" s="766">
        <f t="shared" si="102"/>
        <v>0</v>
      </c>
      <c r="AI62" s="367">
        <f t="shared" si="102"/>
        <v>0</v>
      </c>
      <c r="AJ62" s="367">
        <f t="shared" si="102"/>
        <v>0</v>
      </c>
      <c r="AK62" s="298">
        <f t="shared" si="102"/>
        <v>8.07</v>
      </c>
      <c r="AL62" s="671">
        <f t="shared" si="102"/>
        <v>51655458</v>
      </c>
      <c r="AM62" s="465">
        <f t="shared" si="102"/>
        <v>38284341</v>
      </c>
      <c r="AN62" s="366">
        <f t="shared" si="102"/>
        <v>36000</v>
      </c>
      <c r="AO62" s="366">
        <f t="shared" si="102"/>
        <v>12952275</v>
      </c>
      <c r="AP62" s="366">
        <f t="shared" si="102"/>
        <v>382842</v>
      </c>
      <c r="AQ62" s="366">
        <f t="shared" si="102"/>
        <v>0</v>
      </c>
      <c r="AR62" s="298">
        <f t="shared" si="102"/>
        <v>57.267899999999997</v>
      </c>
    </row>
    <row r="63" spans="1:44" ht="12.95" customHeight="1" x14ac:dyDescent="0.25">
      <c r="A63" s="205">
        <v>15</v>
      </c>
      <c r="B63" s="143">
        <v>5459</v>
      </c>
      <c r="C63" s="143">
        <v>600099415</v>
      </c>
      <c r="D63" s="143">
        <v>70946086</v>
      </c>
      <c r="E63" s="295" t="s">
        <v>463</v>
      </c>
      <c r="F63" s="143">
        <v>3231</v>
      </c>
      <c r="G63" s="295" t="s">
        <v>281</v>
      </c>
      <c r="H63" s="210" t="s">
        <v>262</v>
      </c>
      <c r="I63" s="586">
        <f t="shared" si="10"/>
        <v>24703502</v>
      </c>
      <c r="J63" s="490">
        <v>18326040</v>
      </c>
      <c r="K63" s="55">
        <f t="shared" si="11"/>
        <v>6194202</v>
      </c>
      <c r="L63" s="55">
        <f t="shared" si="12"/>
        <v>183260</v>
      </c>
      <c r="M63" s="490">
        <v>0</v>
      </c>
      <c r="N63" s="752">
        <v>27.5275</v>
      </c>
      <c r="O63" s="555">
        <f>V63*-1</f>
        <v>0</v>
      </c>
      <c r="P63" s="578">
        <v>0</v>
      </c>
      <c r="Q63" s="325">
        <v>0</v>
      </c>
      <c r="R63" s="325">
        <v>0</v>
      </c>
      <c r="S63" s="325">
        <v>0</v>
      </c>
      <c r="T63" s="325">
        <v>0</v>
      </c>
      <c r="U63" s="492">
        <f>O63+P63+Q63+R63+S63+T63</f>
        <v>0</v>
      </c>
      <c r="V63" s="325">
        <v>0</v>
      </c>
      <c r="W63" s="325">
        <v>0</v>
      </c>
      <c r="X63" s="325">
        <v>0</v>
      </c>
      <c r="Y63" s="492">
        <f>V63+W63+X63</f>
        <v>0</v>
      </c>
      <c r="Z63" s="492">
        <f>U63+Y63</f>
        <v>0</v>
      </c>
      <c r="AA63" s="494">
        <f>ROUND((U63+Y63)*33.8%,0)</f>
        <v>0</v>
      </c>
      <c r="AB63" s="494">
        <f t="shared" ref="AB63" si="103">ROUND(U63*1%,0)</f>
        <v>0</v>
      </c>
      <c r="AC63" s="492">
        <v>0</v>
      </c>
      <c r="AD63" s="789">
        <f t="shared" ref="AD63" si="104">Z63+AA63+AB63+AC63</f>
        <v>0</v>
      </c>
      <c r="AE63" s="851">
        <v>0</v>
      </c>
      <c r="AF63" s="764">
        <v>0</v>
      </c>
      <c r="AG63" s="763">
        <v>0</v>
      </c>
      <c r="AH63" s="763">
        <v>0</v>
      </c>
      <c r="AI63" s="326">
        <v>0</v>
      </c>
      <c r="AJ63" s="326">
        <v>0</v>
      </c>
      <c r="AK63" s="626">
        <f>SUM(AE63:AJ63)</f>
        <v>0</v>
      </c>
      <c r="AL63" s="696">
        <f>I63+AD63</f>
        <v>24703502</v>
      </c>
      <c r="AM63" s="492">
        <f>J63+U63</f>
        <v>18326040</v>
      </c>
      <c r="AN63" s="492">
        <f>Y63</f>
        <v>0</v>
      </c>
      <c r="AO63" s="492">
        <f>K63+AA63</f>
        <v>6194202</v>
      </c>
      <c r="AP63" s="492">
        <f>L63+AB63</f>
        <v>183260</v>
      </c>
      <c r="AQ63" s="492">
        <f>M63+AC63</f>
        <v>0</v>
      </c>
      <c r="AR63" s="626">
        <f>N63+AK63</f>
        <v>27.5275</v>
      </c>
    </row>
    <row r="64" spans="1:44" ht="12.95" customHeight="1" x14ac:dyDescent="0.25">
      <c r="A64" s="144">
        <v>15</v>
      </c>
      <c r="B64" s="41">
        <v>5459</v>
      </c>
      <c r="C64" s="41">
        <v>600099415</v>
      </c>
      <c r="D64" s="41">
        <v>70946086</v>
      </c>
      <c r="E64" s="297" t="s">
        <v>464</v>
      </c>
      <c r="F64" s="41"/>
      <c r="G64" s="297"/>
      <c r="H64" s="128"/>
      <c r="I64" s="667">
        <f t="shared" ref="I64:AR64" si="105">SUM(I63)</f>
        <v>24703502</v>
      </c>
      <c r="J64" s="572">
        <f t="shared" si="105"/>
        <v>18326040</v>
      </c>
      <c r="K64" s="351">
        <f t="shared" si="105"/>
        <v>6194202</v>
      </c>
      <c r="L64" s="351">
        <f t="shared" si="105"/>
        <v>183260</v>
      </c>
      <c r="M64" s="572">
        <f t="shared" si="105"/>
        <v>0</v>
      </c>
      <c r="N64" s="767">
        <f t="shared" si="105"/>
        <v>27.5275</v>
      </c>
      <c r="O64" s="672">
        <f t="shared" si="105"/>
        <v>0</v>
      </c>
      <c r="P64" s="466">
        <f t="shared" si="105"/>
        <v>0</v>
      </c>
      <c r="Q64" s="351">
        <f t="shared" si="105"/>
        <v>0</v>
      </c>
      <c r="R64" s="351">
        <f t="shared" si="105"/>
        <v>0</v>
      </c>
      <c r="S64" s="351">
        <f t="shared" si="105"/>
        <v>0</v>
      </c>
      <c r="T64" s="351">
        <f t="shared" si="105"/>
        <v>0</v>
      </c>
      <c r="U64" s="351">
        <f t="shared" si="105"/>
        <v>0</v>
      </c>
      <c r="V64" s="351">
        <f t="shared" si="105"/>
        <v>0</v>
      </c>
      <c r="W64" s="351">
        <f t="shared" si="105"/>
        <v>0</v>
      </c>
      <c r="X64" s="351">
        <f t="shared" si="105"/>
        <v>0</v>
      </c>
      <c r="Y64" s="351">
        <f t="shared" si="105"/>
        <v>0</v>
      </c>
      <c r="Z64" s="351">
        <f t="shared" si="105"/>
        <v>0</v>
      </c>
      <c r="AA64" s="351">
        <f t="shared" si="105"/>
        <v>0</v>
      </c>
      <c r="AB64" s="351">
        <f t="shared" si="105"/>
        <v>0</v>
      </c>
      <c r="AC64" s="351">
        <f t="shared" si="105"/>
        <v>0</v>
      </c>
      <c r="AD64" s="845">
        <f t="shared" si="105"/>
        <v>0</v>
      </c>
      <c r="AE64" s="853">
        <f t="shared" si="105"/>
        <v>0</v>
      </c>
      <c r="AF64" s="768">
        <f t="shared" si="105"/>
        <v>0</v>
      </c>
      <c r="AG64" s="768">
        <f t="shared" si="105"/>
        <v>0</v>
      </c>
      <c r="AH64" s="768">
        <f t="shared" si="105"/>
        <v>0</v>
      </c>
      <c r="AI64" s="352">
        <f t="shared" si="105"/>
        <v>0</v>
      </c>
      <c r="AJ64" s="352">
        <f t="shared" si="105"/>
        <v>0</v>
      </c>
      <c r="AK64" s="204">
        <f t="shared" si="105"/>
        <v>0</v>
      </c>
      <c r="AL64" s="672">
        <f t="shared" si="105"/>
        <v>24703502</v>
      </c>
      <c r="AM64" s="466">
        <f t="shared" si="105"/>
        <v>18326040</v>
      </c>
      <c r="AN64" s="351">
        <f t="shared" si="105"/>
        <v>0</v>
      </c>
      <c r="AO64" s="351">
        <f t="shared" si="105"/>
        <v>6194202</v>
      </c>
      <c r="AP64" s="351">
        <f t="shared" si="105"/>
        <v>183260</v>
      </c>
      <c r="AQ64" s="351">
        <f t="shared" si="105"/>
        <v>0</v>
      </c>
      <c r="AR64" s="204">
        <f t="shared" si="105"/>
        <v>27.5275</v>
      </c>
    </row>
    <row r="65" spans="1:44" ht="12.95" customHeight="1" x14ac:dyDescent="0.25">
      <c r="A65" s="205">
        <v>16</v>
      </c>
      <c r="B65" s="299">
        <v>5482</v>
      </c>
      <c r="C65" s="299">
        <v>600098982</v>
      </c>
      <c r="D65" s="299">
        <v>71006923</v>
      </c>
      <c r="E65" s="295" t="s">
        <v>465</v>
      </c>
      <c r="F65" s="143">
        <v>3111</v>
      </c>
      <c r="G65" s="296" t="s">
        <v>290</v>
      </c>
      <c r="H65" s="210" t="s">
        <v>262</v>
      </c>
      <c r="I65" s="586">
        <f t="shared" si="10"/>
        <v>1771590</v>
      </c>
      <c r="J65" s="490">
        <v>1314236</v>
      </c>
      <c r="K65" s="55">
        <f t="shared" si="11"/>
        <v>444212</v>
      </c>
      <c r="L65" s="55">
        <f t="shared" si="12"/>
        <v>13142</v>
      </c>
      <c r="M65" s="490">
        <v>0</v>
      </c>
      <c r="N65" s="752">
        <v>2</v>
      </c>
      <c r="O65" s="555">
        <f t="shared" ref="O65:O68" si="106">V65*-1</f>
        <v>0</v>
      </c>
      <c r="P65" s="578">
        <v>0</v>
      </c>
      <c r="Q65" s="325">
        <v>0</v>
      </c>
      <c r="R65" s="325">
        <v>0</v>
      </c>
      <c r="S65" s="325">
        <v>0</v>
      </c>
      <c r="T65" s="325">
        <v>0</v>
      </c>
      <c r="U65" s="492">
        <f>O65+P65+Q65+R65+S65+T65</f>
        <v>0</v>
      </c>
      <c r="V65" s="325">
        <v>0</v>
      </c>
      <c r="W65" s="325">
        <v>0</v>
      </c>
      <c r="X65" s="325">
        <v>0</v>
      </c>
      <c r="Y65" s="492">
        <f t="shared" ref="Y65:Y68" si="107">V65+W65+X65</f>
        <v>0</v>
      </c>
      <c r="Z65" s="492">
        <f t="shared" ref="Z65:Z68" si="108">U65+Y65</f>
        <v>0</v>
      </c>
      <c r="AA65" s="494">
        <f t="shared" ref="AA65:AA68" si="109">ROUND((U65+Y65)*33.8%,0)</f>
        <v>0</v>
      </c>
      <c r="AB65" s="494">
        <f t="shared" ref="AB65:AB68" si="110">ROUND(U65*1%,0)</f>
        <v>0</v>
      </c>
      <c r="AC65" s="492">
        <v>0</v>
      </c>
      <c r="AD65" s="789">
        <f t="shared" ref="AD65:AD68" si="111">Z65+AA65+AB65+AC65</f>
        <v>0</v>
      </c>
      <c r="AE65" s="851">
        <v>0</v>
      </c>
      <c r="AF65" s="764">
        <v>0</v>
      </c>
      <c r="AG65" s="763">
        <v>0</v>
      </c>
      <c r="AH65" s="763">
        <v>0</v>
      </c>
      <c r="AI65" s="326">
        <v>0</v>
      </c>
      <c r="AJ65" s="326">
        <v>0</v>
      </c>
      <c r="AK65" s="626">
        <f>SUM(AE65:AJ65)</f>
        <v>0</v>
      </c>
      <c r="AL65" s="696">
        <f>I65+AD65</f>
        <v>1771590</v>
      </c>
      <c r="AM65" s="492">
        <f>J65+U65</f>
        <v>1314236</v>
      </c>
      <c r="AN65" s="492">
        <f>Y65</f>
        <v>0</v>
      </c>
      <c r="AO65" s="492">
        <f t="shared" ref="AO65:AQ68" si="112">K65+AA65</f>
        <v>444212</v>
      </c>
      <c r="AP65" s="492">
        <f t="shared" si="112"/>
        <v>13142</v>
      </c>
      <c r="AQ65" s="492">
        <f t="shared" si="112"/>
        <v>0</v>
      </c>
      <c r="AR65" s="626">
        <f>N65+AK65</f>
        <v>2</v>
      </c>
    </row>
    <row r="66" spans="1:44" ht="12.95" customHeight="1" x14ac:dyDescent="0.25">
      <c r="A66" s="205">
        <v>16</v>
      </c>
      <c r="B66" s="143">
        <v>5482</v>
      </c>
      <c r="C66" s="143">
        <v>600098982</v>
      </c>
      <c r="D66" s="143">
        <v>71006923</v>
      </c>
      <c r="E66" s="295" t="s">
        <v>465</v>
      </c>
      <c r="F66" s="143">
        <v>3117</v>
      </c>
      <c r="G66" s="295" t="s">
        <v>294</v>
      </c>
      <c r="H66" s="210" t="s">
        <v>262</v>
      </c>
      <c r="I66" s="586">
        <f t="shared" si="10"/>
        <v>4812347</v>
      </c>
      <c r="J66" s="490">
        <v>3569990</v>
      </c>
      <c r="K66" s="55">
        <f>ROUND(J66*33.8%,0)-1</f>
        <v>1206656</v>
      </c>
      <c r="L66" s="55">
        <f>ROUND(J66*1%,0)+1</f>
        <v>35701</v>
      </c>
      <c r="M66" s="490">
        <v>0</v>
      </c>
      <c r="N66" s="752">
        <v>4.7271999999999998</v>
      </c>
      <c r="O66" s="327">
        <f t="shared" si="106"/>
        <v>0</v>
      </c>
      <c r="P66" s="578">
        <v>0</v>
      </c>
      <c r="Q66" s="325">
        <v>0</v>
      </c>
      <c r="R66" s="325">
        <v>0</v>
      </c>
      <c r="S66" s="325">
        <v>0</v>
      </c>
      <c r="T66" s="325">
        <v>0</v>
      </c>
      <c r="U66" s="492">
        <f>O66+P66+Q66+R66+S66+T66</f>
        <v>0</v>
      </c>
      <c r="V66" s="325">
        <v>0</v>
      </c>
      <c r="W66" s="325">
        <v>0</v>
      </c>
      <c r="X66" s="325">
        <v>0</v>
      </c>
      <c r="Y66" s="492">
        <f t="shared" si="107"/>
        <v>0</v>
      </c>
      <c r="Z66" s="492">
        <f t="shared" si="108"/>
        <v>0</v>
      </c>
      <c r="AA66" s="494">
        <f t="shared" si="109"/>
        <v>0</v>
      </c>
      <c r="AB66" s="494">
        <f t="shared" si="110"/>
        <v>0</v>
      </c>
      <c r="AC66" s="492">
        <v>0</v>
      </c>
      <c r="AD66" s="789">
        <f t="shared" si="111"/>
        <v>0</v>
      </c>
      <c r="AE66" s="851">
        <v>0</v>
      </c>
      <c r="AF66" s="764">
        <v>0</v>
      </c>
      <c r="AG66" s="763">
        <v>0</v>
      </c>
      <c r="AH66" s="763">
        <v>0</v>
      </c>
      <c r="AI66" s="326">
        <v>0</v>
      </c>
      <c r="AJ66" s="326">
        <v>0</v>
      </c>
      <c r="AK66" s="626">
        <f>SUM(AE66:AJ66)</f>
        <v>0</v>
      </c>
      <c r="AL66" s="696">
        <f>I66+AD66</f>
        <v>4812347</v>
      </c>
      <c r="AM66" s="492">
        <f>J66+U66</f>
        <v>3569990</v>
      </c>
      <c r="AN66" s="492">
        <f>Y66</f>
        <v>0</v>
      </c>
      <c r="AO66" s="492">
        <f t="shared" si="112"/>
        <v>1206656</v>
      </c>
      <c r="AP66" s="492">
        <f t="shared" si="112"/>
        <v>35701</v>
      </c>
      <c r="AQ66" s="492">
        <f t="shared" si="112"/>
        <v>0</v>
      </c>
      <c r="AR66" s="626">
        <f>N66+AK66</f>
        <v>4.7271999999999998</v>
      </c>
    </row>
    <row r="67" spans="1:44" ht="12.95" customHeight="1" x14ac:dyDescent="0.25">
      <c r="A67" s="205">
        <v>16</v>
      </c>
      <c r="B67" s="143">
        <v>5482</v>
      </c>
      <c r="C67" s="143">
        <v>600098982</v>
      </c>
      <c r="D67" s="143">
        <v>71006923</v>
      </c>
      <c r="E67" s="295" t="s">
        <v>465</v>
      </c>
      <c r="F67" s="143">
        <v>3117</v>
      </c>
      <c r="G67" s="248" t="s">
        <v>278</v>
      </c>
      <c r="H67" s="210" t="s">
        <v>263</v>
      </c>
      <c r="I67" s="586">
        <f t="shared" si="10"/>
        <v>0</v>
      </c>
      <c r="J67" s="490">
        <v>0</v>
      </c>
      <c r="K67" s="55">
        <f t="shared" si="11"/>
        <v>0</v>
      </c>
      <c r="L67" s="55">
        <f t="shared" si="12"/>
        <v>0</v>
      </c>
      <c r="M67" s="490">
        <v>0</v>
      </c>
      <c r="N67" s="752">
        <v>0</v>
      </c>
      <c r="O67" s="327">
        <f t="shared" si="106"/>
        <v>0</v>
      </c>
      <c r="P67" s="578">
        <v>198424</v>
      </c>
      <c r="Q67" s="325">
        <v>0</v>
      </c>
      <c r="R67" s="325">
        <v>0</v>
      </c>
      <c r="S67" s="325">
        <v>0</v>
      </c>
      <c r="T67" s="325">
        <v>0</v>
      </c>
      <c r="U67" s="492">
        <f>O67+P67+Q67+R67+S67+T67</f>
        <v>198424</v>
      </c>
      <c r="V67" s="325">
        <v>0</v>
      </c>
      <c r="W67" s="325">
        <v>0</v>
      </c>
      <c r="X67" s="325">
        <v>0</v>
      </c>
      <c r="Y67" s="492">
        <f t="shared" si="107"/>
        <v>0</v>
      </c>
      <c r="Z67" s="492">
        <f t="shared" si="108"/>
        <v>198424</v>
      </c>
      <c r="AA67" s="494">
        <f t="shared" si="109"/>
        <v>67067</v>
      </c>
      <c r="AB67" s="494">
        <f t="shared" si="110"/>
        <v>1984</v>
      </c>
      <c r="AC67" s="492">
        <v>0</v>
      </c>
      <c r="AD67" s="789">
        <f t="shared" si="111"/>
        <v>267475</v>
      </c>
      <c r="AE67" s="851">
        <v>0</v>
      </c>
      <c r="AF67" s="764">
        <v>0.5</v>
      </c>
      <c r="AG67" s="763">
        <v>0</v>
      </c>
      <c r="AH67" s="763">
        <v>0</v>
      </c>
      <c r="AI67" s="326">
        <v>0</v>
      </c>
      <c r="AJ67" s="326">
        <v>0</v>
      </c>
      <c r="AK67" s="626">
        <f>SUM(AE67:AJ67)</f>
        <v>0.5</v>
      </c>
      <c r="AL67" s="696">
        <f>I67+AD67</f>
        <v>267475</v>
      </c>
      <c r="AM67" s="492">
        <f>J67+U67</f>
        <v>198424</v>
      </c>
      <c r="AN67" s="492">
        <f>Y67</f>
        <v>0</v>
      </c>
      <c r="AO67" s="492">
        <f t="shared" si="112"/>
        <v>67067</v>
      </c>
      <c r="AP67" s="492">
        <f t="shared" si="112"/>
        <v>1984</v>
      </c>
      <c r="AQ67" s="492">
        <f t="shared" si="112"/>
        <v>0</v>
      </c>
      <c r="AR67" s="626">
        <f>N67+AK67</f>
        <v>0.5</v>
      </c>
    </row>
    <row r="68" spans="1:44" ht="12.95" customHeight="1" x14ac:dyDescent="0.25">
      <c r="A68" s="205">
        <v>16</v>
      </c>
      <c r="B68" s="143">
        <v>5482</v>
      </c>
      <c r="C68" s="143">
        <v>600098982</v>
      </c>
      <c r="D68" s="143">
        <v>71006923</v>
      </c>
      <c r="E68" s="295" t="s">
        <v>465</v>
      </c>
      <c r="F68" s="143">
        <v>3143</v>
      </c>
      <c r="G68" s="248" t="s">
        <v>794</v>
      </c>
      <c r="H68" s="210" t="s">
        <v>262</v>
      </c>
      <c r="I68" s="586">
        <f t="shared" si="10"/>
        <v>1198159</v>
      </c>
      <c r="J68" s="490">
        <v>888842</v>
      </c>
      <c r="K68" s="55">
        <f t="shared" si="11"/>
        <v>300429</v>
      </c>
      <c r="L68" s="55">
        <f t="shared" si="12"/>
        <v>8888</v>
      </c>
      <c r="M68" s="490">
        <v>0</v>
      </c>
      <c r="N68" s="752">
        <v>1.6786000000000001</v>
      </c>
      <c r="O68" s="327">
        <f t="shared" si="106"/>
        <v>0</v>
      </c>
      <c r="P68" s="578">
        <v>0</v>
      </c>
      <c r="Q68" s="325">
        <v>0</v>
      </c>
      <c r="R68" s="325">
        <v>0</v>
      </c>
      <c r="S68" s="325">
        <v>0</v>
      </c>
      <c r="T68" s="325">
        <v>0</v>
      </c>
      <c r="U68" s="492">
        <f>O68+P68+Q68+R68+S68+T68</f>
        <v>0</v>
      </c>
      <c r="V68" s="325">
        <v>0</v>
      </c>
      <c r="W68" s="325">
        <v>0</v>
      </c>
      <c r="X68" s="325">
        <v>0</v>
      </c>
      <c r="Y68" s="492">
        <f t="shared" si="107"/>
        <v>0</v>
      </c>
      <c r="Z68" s="492">
        <f t="shared" si="108"/>
        <v>0</v>
      </c>
      <c r="AA68" s="494">
        <f t="shared" si="109"/>
        <v>0</v>
      </c>
      <c r="AB68" s="494">
        <f t="shared" si="110"/>
        <v>0</v>
      </c>
      <c r="AC68" s="492">
        <v>0</v>
      </c>
      <c r="AD68" s="789">
        <f t="shared" si="111"/>
        <v>0</v>
      </c>
      <c r="AE68" s="851">
        <v>0</v>
      </c>
      <c r="AF68" s="764">
        <v>0</v>
      </c>
      <c r="AG68" s="763">
        <v>0</v>
      </c>
      <c r="AH68" s="763">
        <v>0</v>
      </c>
      <c r="AI68" s="326">
        <v>0</v>
      </c>
      <c r="AJ68" s="326">
        <v>0</v>
      </c>
      <c r="AK68" s="626">
        <f>SUM(AE68:AJ68)</f>
        <v>0</v>
      </c>
      <c r="AL68" s="696">
        <f>I68+AD68</f>
        <v>1198159</v>
      </c>
      <c r="AM68" s="492">
        <f>J68+U68</f>
        <v>888842</v>
      </c>
      <c r="AN68" s="492">
        <f>Y68</f>
        <v>0</v>
      </c>
      <c r="AO68" s="492">
        <f t="shared" si="112"/>
        <v>300429</v>
      </c>
      <c r="AP68" s="492">
        <f t="shared" si="112"/>
        <v>8888</v>
      </c>
      <c r="AQ68" s="492">
        <f t="shared" si="112"/>
        <v>0</v>
      </c>
      <c r="AR68" s="626">
        <f>N68+AK68</f>
        <v>1.6786000000000001</v>
      </c>
    </row>
    <row r="69" spans="1:44" ht="12.95" customHeight="1" x14ac:dyDescent="0.25">
      <c r="A69" s="144">
        <v>16</v>
      </c>
      <c r="B69" s="41">
        <v>5482</v>
      </c>
      <c r="C69" s="41">
        <v>600098982</v>
      </c>
      <c r="D69" s="41">
        <v>71006923</v>
      </c>
      <c r="E69" s="297" t="s">
        <v>466</v>
      </c>
      <c r="F69" s="41"/>
      <c r="G69" s="297"/>
      <c r="H69" s="128"/>
      <c r="I69" s="667">
        <f t="shared" ref="I69:AR69" si="113">SUM(I65:I68)</f>
        <v>7782096</v>
      </c>
      <c r="J69" s="572">
        <f t="shared" si="113"/>
        <v>5773068</v>
      </c>
      <c r="K69" s="351">
        <f t="shared" si="113"/>
        <v>1951297</v>
      </c>
      <c r="L69" s="351">
        <f t="shared" si="113"/>
        <v>57731</v>
      </c>
      <c r="M69" s="572">
        <f t="shared" si="113"/>
        <v>0</v>
      </c>
      <c r="N69" s="767">
        <f t="shared" si="113"/>
        <v>8.4057999999999993</v>
      </c>
      <c r="O69" s="672">
        <f t="shared" si="113"/>
        <v>0</v>
      </c>
      <c r="P69" s="466">
        <f t="shared" si="113"/>
        <v>198424</v>
      </c>
      <c r="Q69" s="351">
        <f t="shared" si="113"/>
        <v>0</v>
      </c>
      <c r="R69" s="351">
        <f t="shared" si="113"/>
        <v>0</v>
      </c>
      <c r="S69" s="351">
        <f t="shared" si="113"/>
        <v>0</v>
      </c>
      <c r="T69" s="351">
        <f t="shared" si="113"/>
        <v>0</v>
      </c>
      <c r="U69" s="351">
        <f t="shared" si="113"/>
        <v>198424</v>
      </c>
      <c r="V69" s="351">
        <f t="shared" si="113"/>
        <v>0</v>
      </c>
      <c r="W69" s="351">
        <f t="shared" si="113"/>
        <v>0</v>
      </c>
      <c r="X69" s="351">
        <f t="shared" si="113"/>
        <v>0</v>
      </c>
      <c r="Y69" s="351">
        <f t="shared" si="113"/>
        <v>0</v>
      </c>
      <c r="Z69" s="351">
        <f t="shared" si="113"/>
        <v>198424</v>
      </c>
      <c r="AA69" s="351">
        <f t="shared" si="113"/>
        <v>67067</v>
      </c>
      <c r="AB69" s="351">
        <f t="shared" si="113"/>
        <v>1984</v>
      </c>
      <c r="AC69" s="351">
        <f t="shared" si="113"/>
        <v>0</v>
      </c>
      <c r="AD69" s="845">
        <f t="shared" si="113"/>
        <v>267475</v>
      </c>
      <c r="AE69" s="853">
        <f t="shared" si="113"/>
        <v>0</v>
      </c>
      <c r="AF69" s="768">
        <f t="shared" si="113"/>
        <v>0.5</v>
      </c>
      <c r="AG69" s="768">
        <f t="shared" si="113"/>
        <v>0</v>
      </c>
      <c r="AH69" s="768">
        <f t="shared" si="113"/>
        <v>0</v>
      </c>
      <c r="AI69" s="352">
        <f t="shared" si="113"/>
        <v>0</v>
      </c>
      <c r="AJ69" s="352">
        <f t="shared" si="113"/>
        <v>0</v>
      </c>
      <c r="AK69" s="204">
        <f t="shared" si="113"/>
        <v>0.5</v>
      </c>
      <c r="AL69" s="672">
        <f t="shared" si="113"/>
        <v>8049571</v>
      </c>
      <c r="AM69" s="466">
        <f t="shared" si="113"/>
        <v>5971492</v>
      </c>
      <c r="AN69" s="351">
        <f t="shared" si="113"/>
        <v>0</v>
      </c>
      <c r="AO69" s="351">
        <f t="shared" si="113"/>
        <v>2018364</v>
      </c>
      <c r="AP69" s="351">
        <f t="shared" si="113"/>
        <v>59715</v>
      </c>
      <c r="AQ69" s="351">
        <f t="shared" si="113"/>
        <v>0</v>
      </c>
      <c r="AR69" s="204">
        <f t="shared" si="113"/>
        <v>8.9057999999999993</v>
      </c>
    </row>
    <row r="70" spans="1:44" ht="12.95" customHeight="1" x14ac:dyDescent="0.25">
      <c r="A70" s="205">
        <v>17</v>
      </c>
      <c r="B70" s="304">
        <v>3421</v>
      </c>
      <c r="C70" s="304">
        <v>600077985</v>
      </c>
      <c r="D70" s="206">
        <v>72741651</v>
      </c>
      <c r="E70" s="303" t="s">
        <v>467</v>
      </c>
      <c r="F70" s="304">
        <v>3111</v>
      </c>
      <c r="G70" s="296" t="s">
        <v>290</v>
      </c>
      <c r="H70" s="210" t="s">
        <v>262</v>
      </c>
      <c r="I70" s="586">
        <f t="shared" si="10"/>
        <v>5785637</v>
      </c>
      <c r="J70" s="490">
        <v>4292016</v>
      </c>
      <c r="K70" s="55">
        <f t="shared" si="11"/>
        <v>1450701</v>
      </c>
      <c r="L70" s="55">
        <f t="shared" si="12"/>
        <v>42920</v>
      </c>
      <c r="M70" s="490">
        <v>0</v>
      </c>
      <c r="N70" s="752">
        <v>7.71</v>
      </c>
      <c r="O70" s="555">
        <f>V70*-1</f>
        <v>-12000</v>
      </c>
      <c r="P70" s="578">
        <v>0</v>
      </c>
      <c r="Q70" s="325">
        <v>0</v>
      </c>
      <c r="R70" s="325">
        <v>0</v>
      </c>
      <c r="S70" s="325">
        <v>0</v>
      </c>
      <c r="T70" s="325">
        <v>0</v>
      </c>
      <c r="U70" s="492">
        <f>O70+P70+Q70+R70+S70+T70</f>
        <v>-12000</v>
      </c>
      <c r="V70" s="325">
        <v>12000</v>
      </c>
      <c r="W70" s="325">
        <v>0</v>
      </c>
      <c r="X70" s="325">
        <v>0</v>
      </c>
      <c r="Y70" s="492">
        <f t="shared" ref="Y70:Y71" si="114">V70+W70+X70</f>
        <v>12000</v>
      </c>
      <c r="Z70" s="492">
        <f t="shared" ref="Z70:Z71" si="115">U70+Y70</f>
        <v>0</v>
      </c>
      <c r="AA70" s="494">
        <f t="shared" ref="AA70:AA71" si="116">ROUND((U70+Y70)*33.8%,0)</f>
        <v>0</v>
      </c>
      <c r="AB70" s="494">
        <f t="shared" ref="AB70:AB71" si="117">ROUND(U70*1%,0)</f>
        <v>-120</v>
      </c>
      <c r="AC70" s="492">
        <v>0</v>
      </c>
      <c r="AD70" s="789">
        <f t="shared" ref="AD70:AD71" si="118">Z70+AA70+AB70+AC70</f>
        <v>-120</v>
      </c>
      <c r="AE70" s="851">
        <v>0</v>
      </c>
      <c r="AF70" s="764">
        <v>0</v>
      </c>
      <c r="AG70" s="763">
        <v>0</v>
      </c>
      <c r="AH70" s="763">
        <v>0</v>
      </c>
      <c r="AI70" s="326">
        <v>0</v>
      </c>
      <c r="AJ70" s="326">
        <v>0</v>
      </c>
      <c r="AK70" s="626">
        <f>SUM(AE70:AJ70)</f>
        <v>0</v>
      </c>
      <c r="AL70" s="696">
        <f>I70+AD70</f>
        <v>5785517</v>
      </c>
      <c r="AM70" s="492">
        <f>J70+U70</f>
        <v>4280016</v>
      </c>
      <c r="AN70" s="492">
        <f>Y70</f>
        <v>12000</v>
      </c>
      <c r="AO70" s="492">
        <f t="shared" ref="AO70:AQ71" si="119">K70+AA70</f>
        <v>1450701</v>
      </c>
      <c r="AP70" s="492">
        <f t="shared" si="119"/>
        <v>42800</v>
      </c>
      <c r="AQ70" s="492">
        <f t="shared" si="119"/>
        <v>0</v>
      </c>
      <c r="AR70" s="626">
        <f>N70+AK70</f>
        <v>7.71</v>
      </c>
    </row>
    <row r="71" spans="1:44" ht="12.95" customHeight="1" x14ac:dyDescent="0.25">
      <c r="A71" s="205">
        <v>17</v>
      </c>
      <c r="B71" s="143">
        <v>3421</v>
      </c>
      <c r="C71" s="143">
        <v>600077985</v>
      </c>
      <c r="D71" s="206">
        <v>72741651</v>
      </c>
      <c r="E71" s="142" t="s">
        <v>467</v>
      </c>
      <c r="F71" s="304">
        <v>3111</v>
      </c>
      <c r="G71" s="248" t="s">
        <v>278</v>
      </c>
      <c r="H71" s="210" t="s">
        <v>263</v>
      </c>
      <c r="I71" s="586">
        <f t="shared" si="10"/>
        <v>0</v>
      </c>
      <c r="J71" s="490">
        <v>0</v>
      </c>
      <c r="K71" s="55">
        <f t="shared" si="11"/>
        <v>0</v>
      </c>
      <c r="L71" s="55">
        <f t="shared" si="12"/>
        <v>0</v>
      </c>
      <c r="M71" s="490">
        <v>0</v>
      </c>
      <c r="N71" s="752">
        <v>0</v>
      </c>
      <c r="O71" s="327">
        <f>V71*-1</f>
        <v>0</v>
      </c>
      <c r="P71" s="578">
        <v>396847</v>
      </c>
      <c r="Q71" s="325">
        <v>0</v>
      </c>
      <c r="R71" s="325">
        <v>0</v>
      </c>
      <c r="S71" s="325">
        <v>0</v>
      </c>
      <c r="T71" s="325">
        <v>0</v>
      </c>
      <c r="U71" s="492">
        <f>O71+P71+Q71+R71+S71+T71</f>
        <v>396847</v>
      </c>
      <c r="V71" s="325">
        <v>0</v>
      </c>
      <c r="W71" s="325">
        <v>0</v>
      </c>
      <c r="X71" s="325">
        <v>0</v>
      </c>
      <c r="Y71" s="492">
        <f t="shared" si="114"/>
        <v>0</v>
      </c>
      <c r="Z71" s="492">
        <f t="shared" si="115"/>
        <v>396847</v>
      </c>
      <c r="AA71" s="494">
        <f t="shared" si="116"/>
        <v>134134</v>
      </c>
      <c r="AB71" s="494">
        <f t="shared" si="117"/>
        <v>3968</v>
      </c>
      <c r="AC71" s="492">
        <v>0</v>
      </c>
      <c r="AD71" s="789">
        <f t="shared" si="118"/>
        <v>534949</v>
      </c>
      <c r="AE71" s="851">
        <v>0</v>
      </c>
      <c r="AF71" s="764">
        <v>1</v>
      </c>
      <c r="AG71" s="763">
        <v>0</v>
      </c>
      <c r="AH71" s="763">
        <v>0</v>
      </c>
      <c r="AI71" s="326">
        <v>0</v>
      </c>
      <c r="AJ71" s="326">
        <v>0</v>
      </c>
      <c r="AK71" s="626">
        <f>SUM(AE71:AJ71)</f>
        <v>1</v>
      </c>
      <c r="AL71" s="696">
        <f>I71+AD71</f>
        <v>534949</v>
      </c>
      <c r="AM71" s="492">
        <f>J71+U71</f>
        <v>396847</v>
      </c>
      <c r="AN71" s="492">
        <f>Y71</f>
        <v>0</v>
      </c>
      <c r="AO71" s="492">
        <f t="shared" si="119"/>
        <v>134134</v>
      </c>
      <c r="AP71" s="492">
        <f t="shared" si="119"/>
        <v>3968</v>
      </c>
      <c r="AQ71" s="492">
        <f t="shared" si="119"/>
        <v>0</v>
      </c>
      <c r="AR71" s="626">
        <f>N71+AK71</f>
        <v>1</v>
      </c>
    </row>
    <row r="72" spans="1:44" ht="12.95" customHeight="1" x14ac:dyDescent="0.25">
      <c r="A72" s="144">
        <v>17</v>
      </c>
      <c r="B72" s="42">
        <v>3421</v>
      </c>
      <c r="C72" s="42">
        <v>600077985</v>
      </c>
      <c r="D72" s="44">
        <v>72741651</v>
      </c>
      <c r="E72" s="297" t="s">
        <v>468</v>
      </c>
      <c r="F72" s="44"/>
      <c r="G72" s="310"/>
      <c r="H72" s="131"/>
      <c r="I72" s="669">
        <f t="shared" ref="I72:AR72" si="120">SUM(I70:I71)</f>
        <v>5785637</v>
      </c>
      <c r="J72" s="574">
        <f t="shared" si="120"/>
        <v>4292016</v>
      </c>
      <c r="K72" s="361">
        <f t="shared" si="120"/>
        <v>1450701</v>
      </c>
      <c r="L72" s="361">
        <f t="shared" si="120"/>
        <v>42920</v>
      </c>
      <c r="M72" s="574">
        <f t="shared" si="120"/>
        <v>0</v>
      </c>
      <c r="N72" s="774">
        <f t="shared" si="120"/>
        <v>7.71</v>
      </c>
      <c r="O72" s="674">
        <f t="shared" si="120"/>
        <v>-12000</v>
      </c>
      <c r="P72" s="468">
        <f t="shared" si="120"/>
        <v>396847</v>
      </c>
      <c r="Q72" s="361">
        <f t="shared" si="120"/>
        <v>0</v>
      </c>
      <c r="R72" s="361">
        <f t="shared" si="120"/>
        <v>0</v>
      </c>
      <c r="S72" s="361">
        <f t="shared" si="120"/>
        <v>0</v>
      </c>
      <c r="T72" s="361">
        <f t="shared" si="120"/>
        <v>0</v>
      </c>
      <c r="U72" s="361">
        <f t="shared" si="120"/>
        <v>384847</v>
      </c>
      <c r="V72" s="361">
        <f t="shared" si="120"/>
        <v>12000</v>
      </c>
      <c r="W72" s="361">
        <f t="shared" si="120"/>
        <v>0</v>
      </c>
      <c r="X72" s="361">
        <f t="shared" si="120"/>
        <v>0</v>
      </c>
      <c r="Y72" s="361">
        <f t="shared" si="120"/>
        <v>12000</v>
      </c>
      <c r="Z72" s="361">
        <f t="shared" si="120"/>
        <v>396847</v>
      </c>
      <c r="AA72" s="361">
        <f t="shared" si="120"/>
        <v>134134</v>
      </c>
      <c r="AB72" s="361">
        <f t="shared" si="120"/>
        <v>3848</v>
      </c>
      <c r="AC72" s="361">
        <f t="shared" si="120"/>
        <v>0</v>
      </c>
      <c r="AD72" s="847">
        <f t="shared" si="120"/>
        <v>534829</v>
      </c>
      <c r="AE72" s="856">
        <f t="shared" si="120"/>
        <v>0</v>
      </c>
      <c r="AF72" s="775">
        <f t="shared" si="120"/>
        <v>1</v>
      </c>
      <c r="AG72" s="775">
        <f t="shared" si="120"/>
        <v>0</v>
      </c>
      <c r="AH72" s="775">
        <f t="shared" si="120"/>
        <v>0</v>
      </c>
      <c r="AI72" s="362">
        <f t="shared" si="120"/>
        <v>0</v>
      </c>
      <c r="AJ72" s="362">
        <f t="shared" si="120"/>
        <v>0</v>
      </c>
      <c r="AK72" s="276">
        <f t="shared" si="120"/>
        <v>1</v>
      </c>
      <c r="AL72" s="674">
        <f t="shared" si="120"/>
        <v>6320466</v>
      </c>
      <c r="AM72" s="468">
        <f t="shared" si="120"/>
        <v>4676863</v>
      </c>
      <c r="AN72" s="361">
        <f t="shared" si="120"/>
        <v>12000</v>
      </c>
      <c r="AO72" s="361">
        <f t="shared" si="120"/>
        <v>1584835</v>
      </c>
      <c r="AP72" s="361">
        <f t="shared" si="120"/>
        <v>46768</v>
      </c>
      <c r="AQ72" s="361">
        <f t="shared" si="120"/>
        <v>0</v>
      </c>
      <c r="AR72" s="276">
        <f t="shared" si="120"/>
        <v>8.7100000000000009</v>
      </c>
    </row>
    <row r="73" spans="1:44" ht="12.95" customHeight="1" x14ac:dyDescent="0.25">
      <c r="A73" s="205">
        <v>18</v>
      </c>
      <c r="B73" s="143">
        <v>3420</v>
      </c>
      <c r="C73" s="143">
        <v>600078442</v>
      </c>
      <c r="D73" s="206">
        <v>72741571</v>
      </c>
      <c r="E73" s="295" t="s">
        <v>469</v>
      </c>
      <c r="F73" s="143">
        <v>3113</v>
      </c>
      <c r="G73" s="295" t="s">
        <v>294</v>
      </c>
      <c r="H73" s="210" t="s">
        <v>262</v>
      </c>
      <c r="I73" s="586">
        <f t="shared" si="10"/>
        <v>14207194</v>
      </c>
      <c r="J73" s="490">
        <v>10539461</v>
      </c>
      <c r="K73" s="55">
        <f t="shared" si="11"/>
        <v>3562338</v>
      </c>
      <c r="L73" s="55">
        <f t="shared" si="12"/>
        <v>105395</v>
      </c>
      <c r="M73" s="490">
        <v>0</v>
      </c>
      <c r="N73" s="752">
        <v>14.9091</v>
      </c>
      <c r="O73" s="555">
        <f>V73*-1</f>
        <v>-36540</v>
      </c>
      <c r="P73" s="578">
        <v>0</v>
      </c>
      <c r="Q73" s="325">
        <v>0</v>
      </c>
      <c r="R73" s="325">
        <v>0</v>
      </c>
      <c r="S73" s="325">
        <v>0</v>
      </c>
      <c r="T73" s="325">
        <v>0</v>
      </c>
      <c r="U73" s="492">
        <f>O73+P73+Q73+R73+S73+T73</f>
        <v>-36540</v>
      </c>
      <c r="V73" s="325">
        <v>36540</v>
      </c>
      <c r="W73" s="325">
        <v>0</v>
      </c>
      <c r="X73" s="325">
        <v>0</v>
      </c>
      <c r="Y73" s="492">
        <f t="shared" ref="Y73:Y76" si="121">V73+W73+X73</f>
        <v>36540</v>
      </c>
      <c r="Z73" s="492">
        <f t="shared" ref="Z73:Z76" si="122">U73+Y73</f>
        <v>0</v>
      </c>
      <c r="AA73" s="494">
        <f t="shared" ref="AA73:AA76" si="123">ROUND((U73+Y73)*33.8%,0)</f>
        <v>0</v>
      </c>
      <c r="AB73" s="494">
        <f t="shared" ref="AB73:AB76" si="124">ROUND(U73*1%,0)</f>
        <v>-365</v>
      </c>
      <c r="AC73" s="492">
        <v>0</v>
      </c>
      <c r="AD73" s="789">
        <f t="shared" ref="AD73:AD76" si="125">Z73+AA73+AB73+AC73</f>
        <v>-365</v>
      </c>
      <c r="AE73" s="851">
        <v>-0.05</v>
      </c>
      <c r="AF73" s="764">
        <v>0</v>
      </c>
      <c r="AG73" s="763">
        <v>0</v>
      </c>
      <c r="AH73" s="763">
        <v>0</v>
      </c>
      <c r="AI73" s="326">
        <v>0</v>
      </c>
      <c r="AJ73" s="326">
        <v>0</v>
      </c>
      <c r="AK73" s="626">
        <f>SUM(AE73:AJ73)</f>
        <v>-0.05</v>
      </c>
      <c r="AL73" s="696">
        <f>I73+AD73</f>
        <v>14206829</v>
      </c>
      <c r="AM73" s="492">
        <f>J73+U73</f>
        <v>10502921</v>
      </c>
      <c r="AN73" s="492">
        <f>Y73</f>
        <v>36540</v>
      </c>
      <c r="AO73" s="492">
        <f t="shared" ref="AO73:AQ76" si="126">K73+AA73</f>
        <v>3562338</v>
      </c>
      <c r="AP73" s="492">
        <f t="shared" si="126"/>
        <v>105030</v>
      </c>
      <c r="AQ73" s="492">
        <f t="shared" si="126"/>
        <v>0</v>
      </c>
      <c r="AR73" s="626">
        <f>N73+AK73</f>
        <v>14.8591</v>
      </c>
    </row>
    <row r="74" spans="1:44" ht="12.95" customHeight="1" x14ac:dyDescent="0.25">
      <c r="A74" s="737">
        <v>18</v>
      </c>
      <c r="B74" s="771">
        <v>3420</v>
      </c>
      <c r="C74" s="771">
        <v>600078442</v>
      </c>
      <c r="D74" s="738">
        <v>72741571</v>
      </c>
      <c r="E74" s="772" t="s">
        <v>469</v>
      </c>
      <c r="F74" s="771">
        <v>3113</v>
      </c>
      <c r="G74" s="772" t="s">
        <v>799</v>
      </c>
      <c r="H74" s="773" t="s">
        <v>262</v>
      </c>
      <c r="I74" s="586">
        <f t="shared" si="10"/>
        <v>359665</v>
      </c>
      <c r="J74" s="490">
        <v>266814</v>
      </c>
      <c r="K74" s="55">
        <f t="shared" si="11"/>
        <v>90183</v>
      </c>
      <c r="L74" s="55">
        <f t="shared" si="12"/>
        <v>2668</v>
      </c>
      <c r="M74" s="490">
        <v>0</v>
      </c>
      <c r="N74" s="752">
        <v>0.5</v>
      </c>
      <c r="O74" s="555">
        <f t="shared" ref="O74" si="127">V74*-1</f>
        <v>0</v>
      </c>
      <c r="P74" s="578">
        <v>0</v>
      </c>
      <c r="Q74" s="325">
        <v>0</v>
      </c>
      <c r="R74" s="325">
        <v>0</v>
      </c>
      <c r="S74" s="325">
        <v>0</v>
      </c>
      <c r="T74" s="325">
        <v>0</v>
      </c>
      <c r="U74" s="492">
        <f>O74+P74+Q74+R74+S74+T74</f>
        <v>0</v>
      </c>
      <c r="V74" s="325">
        <v>0</v>
      </c>
      <c r="W74" s="325">
        <v>0</v>
      </c>
      <c r="X74" s="325">
        <v>0</v>
      </c>
      <c r="Y74" s="492">
        <f t="shared" si="121"/>
        <v>0</v>
      </c>
      <c r="Z74" s="492">
        <f t="shared" si="122"/>
        <v>0</v>
      </c>
      <c r="AA74" s="494">
        <f t="shared" si="123"/>
        <v>0</v>
      </c>
      <c r="AB74" s="494">
        <f t="shared" si="124"/>
        <v>0</v>
      </c>
      <c r="AC74" s="492">
        <v>0</v>
      </c>
      <c r="AD74" s="789">
        <f t="shared" si="125"/>
        <v>0</v>
      </c>
      <c r="AE74" s="851">
        <v>0</v>
      </c>
      <c r="AF74" s="764">
        <v>0</v>
      </c>
      <c r="AG74" s="763">
        <v>0</v>
      </c>
      <c r="AH74" s="763">
        <v>0</v>
      </c>
      <c r="AI74" s="326">
        <v>0</v>
      </c>
      <c r="AJ74" s="326">
        <v>0</v>
      </c>
      <c r="AK74" s="626">
        <f>SUM(AE74:AJ74)</f>
        <v>0</v>
      </c>
      <c r="AL74" s="696">
        <f>I74+AD74</f>
        <v>359665</v>
      </c>
      <c r="AM74" s="492">
        <f>J74+U74</f>
        <v>266814</v>
      </c>
      <c r="AN74" s="492">
        <f>Y74</f>
        <v>0</v>
      </c>
      <c r="AO74" s="492">
        <f t="shared" si="126"/>
        <v>90183</v>
      </c>
      <c r="AP74" s="492">
        <f t="shared" si="126"/>
        <v>2668</v>
      </c>
      <c r="AQ74" s="492">
        <f t="shared" si="126"/>
        <v>0</v>
      </c>
      <c r="AR74" s="626">
        <f>N74+AK74</f>
        <v>0.5</v>
      </c>
    </row>
    <row r="75" spans="1:44" ht="12.95" customHeight="1" x14ac:dyDescent="0.25">
      <c r="A75" s="205">
        <v>18</v>
      </c>
      <c r="B75" s="299">
        <v>3420</v>
      </c>
      <c r="C75" s="299">
        <v>600078442</v>
      </c>
      <c r="D75" s="206">
        <v>72741571</v>
      </c>
      <c r="E75" s="295" t="s">
        <v>469</v>
      </c>
      <c r="F75" s="143">
        <v>3113</v>
      </c>
      <c r="G75" s="248" t="s">
        <v>278</v>
      </c>
      <c r="H75" s="210" t="s">
        <v>263</v>
      </c>
      <c r="I75" s="586">
        <f t="shared" si="10"/>
        <v>0</v>
      </c>
      <c r="J75" s="490">
        <v>0</v>
      </c>
      <c r="K75" s="55">
        <f t="shared" si="11"/>
        <v>0</v>
      </c>
      <c r="L75" s="55">
        <f t="shared" si="12"/>
        <v>0</v>
      </c>
      <c r="M75" s="490">
        <v>0</v>
      </c>
      <c r="N75" s="752">
        <v>0</v>
      </c>
      <c r="O75" s="327">
        <f>V75*-1</f>
        <v>0</v>
      </c>
      <c r="P75" s="578">
        <v>396848</v>
      </c>
      <c r="Q75" s="325">
        <v>0</v>
      </c>
      <c r="R75" s="325">
        <v>0</v>
      </c>
      <c r="S75" s="325">
        <v>0</v>
      </c>
      <c r="T75" s="325">
        <v>0</v>
      </c>
      <c r="U75" s="492">
        <f>O75+P75+Q75+R75+S75+T75</f>
        <v>396848</v>
      </c>
      <c r="V75" s="325">
        <v>0</v>
      </c>
      <c r="W75" s="325">
        <v>0</v>
      </c>
      <c r="X75" s="325">
        <v>0</v>
      </c>
      <c r="Y75" s="492">
        <f t="shared" si="121"/>
        <v>0</v>
      </c>
      <c r="Z75" s="492">
        <f t="shared" si="122"/>
        <v>396848</v>
      </c>
      <c r="AA75" s="494">
        <f t="shared" si="123"/>
        <v>134135</v>
      </c>
      <c r="AB75" s="494">
        <f t="shared" si="124"/>
        <v>3968</v>
      </c>
      <c r="AC75" s="492">
        <v>0</v>
      </c>
      <c r="AD75" s="789">
        <f t="shared" si="125"/>
        <v>534951</v>
      </c>
      <c r="AE75" s="851">
        <v>0</v>
      </c>
      <c r="AF75" s="764">
        <v>1</v>
      </c>
      <c r="AG75" s="763">
        <v>0</v>
      </c>
      <c r="AH75" s="763">
        <v>0</v>
      </c>
      <c r="AI75" s="326">
        <v>0</v>
      </c>
      <c r="AJ75" s="326">
        <v>0</v>
      </c>
      <c r="AK75" s="626">
        <f>SUM(AE75:AJ75)</f>
        <v>1</v>
      </c>
      <c r="AL75" s="696">
        <f>I75+AD75</f>
        <v>534951</v>
      </c>
      <c r="AM75" s="492">
        <f>J75+U75</f>
        <v>396848</v>
      </c>
      <c r="AN75" s="492">
        <f>Y75</f>
        <v>0</v>
      </c>
      <c r="AO75" s="492">
        <f t="shared" si="126"/>
        <v>134135</v>
      </c>
      <c r="AP75" s="492">
        <f t="shared" si="126"/>
        <v>3968</v>
      </c>
      <c r="AQ75" s="492">
        <f t="shared" si="126"/>
        <v>0</v>
      </c>
      <c r="AR75" s="626">
        <f>N75+AK75</f>
        <v>1</v>
      </c>
    </row>
    <row r="76" spans="1:44" ht="12.95" customHeight="1" x14ac:dyDescent="0.25">
      <c r="A76" s="205">
        <v>18</v>
      </c>
      <c r="B76" s="299">
        <v>3420</v>
      </c>
      <c r="C76" s="299">
        <v>600078442</v>
      </c>
      <c r="D76" s="206">
        <v>72741571</v>
      </c>
      <c r="E76" s="295" t="s">
        <v>469</v>
      </c>
      <c r="F76" s="143">
        <v>3143</v>
      </c>
      <c r="G76" s="248" t="s">
        <v>794</v>
      </c>
      <c r="H76" s="210" t="s">
        <v>262</v>
      </c>
      <c r="I76" s="586">
        <f t="shared" si="10"/>
        <v>1058572</v>
      </c>
      <c r="J76" s="490">
        <v>785291</v>
      </c>
      <c r="K76" s="55">
        <f t="shared" si="11"/>
        <v>265428</v>
      </c>
      <c r="L76" s="55">
        <f t="shared" si="12"/>
        <v>7853</v>
      </c>
      <c r="M76" s="490">
        <v>0</v>
      </c>
      <c r="N76" s="752">
        <v>1.5</v>
      </c>
      <c r="O76" s="327">
        <f>V76*-1</f>
        <v>0</v>
      </c>
      <c r="P76" s="578">
        <v>0</v>
      </c>
      <c r="Q76" s="325">
        <v>0</v>
      </c>
      <c r="R76" s="325">
        <v>0</v>
      </c>
      <c r="S76" s="325">
        <v>0</v>
      </c>
      <c r="T76" s="325">
        <v>0</v>
      </c>
      <c r="U76" s="492">
        <f>O76+P76+Q76+R76+S76+T76</f>
        <v>0</v>
      </c>
      <c r="V76" s="325">
        <v>0</v>
      </c>
      <c r="W76" s="325">
        <v>0</v>
      </c>
      <c r="X76" s="325">
        <v>0</v>
      </c>
      <c r="Y76" s="492">
        <f t="shared" si="121"/>
        <v>0</v>
      </c>
      <c r="Z76" s="492">
        <f t="shared" si="122"/>
        <v>0</v>
      </c>
      <c r="AA76" s="494">
        <f t="shared" si="123"/>
        <v>0</v>
      </c>
      <c r="AB76" s="494">
        <f t="shared" si="124"/>
        <v>0</v>
      </c>
      <c r="AC76" s="492">
        <v>0</v>
      </c>
      <c r="AD76" s="789">
        <f t="shared" si="125"/>
        <v>0</v>
      </c>
      <c r="AE76" s="851">
        <v>0</v>
      </c>
      <c r="AF76" s="764">
        <v>0</v>
      </c>
      <c r="AG76" s="763">
        <v>0</v>
      </c>
      <c r="AH76" s="763">
        <v>0</v>
      </c>
      <c r="AI76" s="326">
        <v>0</v>
      </c>
      <c r="AJ76" s="326">
        <v>0</v>
      </c>
      <c r="AK76" s="626">
        <f>SUM(AE76:AJ76)</f>
        <v>0</v>
      </c>
      <c r="AL76" s="696">
        <f>I76+AD76</f>
        <v>1058572</v>
      </c>
      <c r="AM76" s="492">
        <f>J76+U76</f>
        <v>785291</v>
      </c>
      <c r="AN76" s="492">
        <f>Y76</f>
        <v>0</v>
      </c>
      <c r="AO76" s="492">
        <f t="shared" si="126"/>
        <v>265428</v>
      </c>
      <c r="AP76" s="492">
        <f t="shared" si="126"/>
        <v>7853</v>
      </c>
      <c r="AQ76" s="492">
        <f t="shared" si="126"/>
        <v>0</v>
      </c>
      <c r="AR76" s="626">
        <f>N76+AK76</f>
        <v>1.5</v>
      </c>
    </row>
    <row r="77" spans="1:44" ht="12.95" customHeight="1" x14ac:dyDescent="0.25">
      <c r="A77" s="144">
        <v>18</v>
      </c>
      <c r="B77" s="42">
        <v>3420</v>
      </c>
      <c r="C77" s="42">
        <v>600078442</v>
      </c>
      <c r="D77" s="42">
        <v>72741571</v>
      </c>
      <c r="E77" s="297" t="s">
        <v>470</v>
      </c>
      <c r="F77" s="41"/>
      <c r="G77" s="297"/>
      <c r="H77" s="128"/>
      <c r="I77" s="667">
        <f t="shared" ref="I77:AR77" si="128">SUM(I73:I76)</f>
        <v>15625431</v>
      </c>
      <c r="J77" s="572">
        <f t="shared" si="128"/>
        <v>11591566</v>
      </c>
      <c r="K77" s="351">
        <f t="shared" si="128"/>
        <v>3917949</v>
      </c>
      <c r="L77" s="351">
        <f t="shared" si="128"/>
        <v>115916</v>
      </c>
      <c r="M77" s="572">
        <f t="shared" si="128"/>
        <v>0</v>
      </c>
      <c r="N77" s="767">
        <f t="shared" si="128"/>
        <v>16.909100000000002</v>
      </c>
      <c r="O77" s="672">
        <f t="shared" si="128"/>
        <v>-36540</v>
      </c>
      <c r="P77" s="466">
        <f t="shared" si="128"/>
        <v>396848</v>
      </c>
      <c r="Q77" s="351">
        <f t="shared" si="128"/>
        <v>0</v>
      </c>
      <c r="R77" s="351">
        <f t="shared" si="128"/>
        <v>0</v>
      </c>
      <c r="S77" s="351">
        <f t="shared" si="128"/>
        <v>0</v>
      </c>
      <c r="T77" s="351">
        <f t="shared" si="128"/>
        <v>0</v>
      </c>
      <c r="U77" s="351">
        <f t="shared" si="128"/>
        <v>360308</v>
      </c>
      <c r="V77" s="351">
        <f t="shared" si="128"/>
        <v>36540</v>
      </c>
      <c r="W77" s="351">
        <f t="shared" si="128"/>
        <v>0</v>
      </c>
      <c r="X77" s="351">
        <f t="shared" si="128"/>
        <v>0</v>
      </c>
      <c r="Y77" s="351">
        <f t="shared" si="128"/>
        <v>36540</v>
      </c>
      <c r="Z77" s="351">
        <f t="shared" si="128"/>
        <v>396848</v>
      </c>
      <c r="AA77" s="351">
        <f t="shared" si="128"/>
        <v>134135</v>
      </c>
      <c r="AB77" s="351">
        <f t="shared" si="128"/>
        <v>3603</v>
      </c>
      <c r="AC77" s="351">
        <f t="shared" si="128"/>
        <v>0</v>
      </c>
      <c r="AD77" s="845">
        <f t="shared" si="128"/>
        <v>534586</v>
      </c>
      <c r="AE77" s="853">
        <f t="shared" si="128"/>
        <v>-0.05</v>
      </c>
      <c r="AF77" s="768">
        <f t="shared" si="128"/>
        <v>1</v>
      </c>
      <c r="AG77" s="768">
        <f t="shared" si="128"/>
        <v>0</v>
      </c>
      <c r="AH77" s="768">
        <f t="shared" si="128"/>
        <v>0</v>
      </c>
      <c r="AI77" s="352">
        <f t="shared" si="128"/>
        <v>0</v>
      </c>
      <c r="AJ77" s="352">
        <f t="shared" si="128"/>
        <v>0</v>
      </c>
      <c r="AK77" s="204">
        <f t="shared" si="128"/>
        <v>0.95</v>
      </c>
      <c r="AL77" s="672">
        <f t="shared" si="128"/>
        <v>16160017</v>
      </c>
      <c r="AM77" s="466">
        <f t="shared" si="128"/>
        <v>11951874</v>
      </c>
      <c r="AN77" s="351">
        <f t="shared" si="128"/>
        <v>36540</v>
      </c>
      <c r="AO77" s="351">
        <f t="shared" si="128"/>
        <v>4052084</v>
      </c>
      <c r="AP77" s="351">
        <f t="shared" si="128"/>
        <v>119519</v>
      </c>
      <c r="AQ77" s="351">
        <f t="shared" si="128"/>
        <v>0</v>
      </c>
      <c r="AR77" s="204">
        <f t="shared" si="128"/>
        <v>17.859099999999998</v>
      </c>
    </row>
    <row r="78" spans="1:44" ht="12.95" customHeight="1" x14ac:dyDescent="0.25">
      <c r="A78" s="205">
        <v>19</v>
      </c>
      <c r="B78" s="293">
        <v>5493</v>
      </c>
      <c r="C78" s="293">
        <v>691009813</v>
      </c>
      <c r="D78" s="206">
        <v>6181457</v>
      </c>
      <c r="E78" s="294" t="s">
        <v>471</v>
      </c>
      <c r="F78" s="293">
        <v>3111</v>
      </c>
      <c r="G78" s="296" t="s">
        <v>290</v>
      </c>
      <c r="H78" s="210" t="s">
        <v>262</v>
      </c>
      <c r="I78" s="586">
        <f t="shared" ref="I78:I141" si="129">SUM(J78:M78)</f>
        <v>3121509</v>
      </c>
      <c r="J78" s="490">
        <v>2315659</v>
      </c>
      <c r="K78" s="55">
        <f t="shared" ref="K78:K141" si="130">ROUND(J78*33.8%,0)</f>
        <v>782693</v>
      </c>
      <c r="L78" s="55">
        <f t="shared" ref="L78:L141" si="131">ROUND(J78*1%,0)</f>
        <v>23157</v>
      </c>
      <c r="M78" s="490">
        <v>0</v>
      </c>
      <c r="N78" s="752">
        <v>4.1399999999999997</v>
      </c>
      <c r="O78" s="555">
        <f>V78*-1</f>
        <v>0</v>
      </c>
      <c r="P78" s="578">
        <v>0</v>
      </c>
      <c r="Q78" s="325">
        <v>0</v>
      </c>
      <c r="R78" s="325">
        <v>0</v>
      </c>
      <c r="S78" s="325">
        <v>0</v>
      </c>
      <c r="T78" s="325">
        <v>0</v>
      </c>
      <c r="U78" s="492">
        <f>O78+P78+Q78+R78+S78+T78</f>
        <v>0</v>
      </c>
      <c r="V78" s="325">
        <v>0</v>
      </c>
      <c r="W78" s="325">
        <v>0</v>
      </c>
      <c r="X78" s="325">
        <v>0</v>
      </c>
      <c r="Y78" s="492">
        <f t="shared" ref="Y78:Y79" si="132">V78+W78+X78</f>
        <v>0</v>
      </c>
      <c r="Z78" s="492">
        <f t="shared" ref="Z78:Z79" si="133">U78+Y78</f>
        <v>0</v>
      </c>
      <c r="AA78" s="494">
        <f t="shared" ref="AA78:AA79" si="134">ROUND((U78+Y78)*33.8%,0)</f>
        <v>0</v>
      </c>
      <c r="AB78" s="494">
        <f t="shared" ref="AB78:AB79" si="135">ROUND(U78*1%,0)</f>
        <v>0</v>
      </c>
      <c r="AC78" s="492">
        <v>0</v>
      </c>
      <c r="AD78" s="789">
        <f t="shared" ref="AD78:AD79" si="136">Z78+AA78+AB78+AC78</f>
        <v>0</v>
      </c>
      <c r="AE78" s="851">
        <v>0</v>
      </c>
      <c r="AF78" s="764">
        <v>0</v>
      </c>
      <c r="AG78" s="763">
        <v>0</v>
      </c>
      <c r="AH78" s="763">
        <v>0</v>
      </c>
      <c r="AI78" s="326">
        <v>0</v>
      </c>
      <c r="AJ78" s="326">
        <v>0</v>
      </c>
      <c r="AK78" s="626">
        <f>SUM(AE78:AJ78)</f>
        <v>0</v>
      </c>
      <c r="AL78" s="696">
        <f>I78+AD78</f>
        <v>3121509</v>
      </c>
      <c r="AM78" s="492">
        <f>J78+U78</f>
        <v>2315659</v>
      </c>
      <c r="AN78" s="492">
        <f>Y78</f>
        <v>0</v>
      </c>
      <c r="AO78" s="492">
        <f t="shared" ref="AO78:AQ79" si="137">K78+AA78</f>
        <v>782693</v>
      </c>
      <c r="AP78" s="492">
        <f t="shared" si="137"/>
        <v>23157</v>
      </c>
      <c r="AQ78" s="492">
        <f t="shared" si="137"/>
        <v>0</v>
      </c>
      <c r="AR78" s="626">
        <f>N78+AK78</f>
        <v>4.1399999999999997</v>
      </c>
    </row>
    <row r="79" spans="1:44" ht="12.95" customHeight="1" x14ac:dyDescent="0.25">
      <c r="A79" s="205">
        <v>19</v>
      </c>
      <c r="B79" s="293">
        <v>5493</v>
      </c>
      <c r="C79" s="293">
        <v>691009813</v>
      </c>
      <c r="D79" s="206">
        <v>6181457</v>
      </c>
      <c r="E79" s="294" t="s">
        <v>471</v>
      </c>
      <c r="F79" s="293">
        <v>3111</v>
      </c>
      <c r="G79" s="248" t="s">
        <v>278</v>
      </c>
      <c r="H79" s="210" t="s">
        <v>263</v>
      </c>
      <c r="I79" s="586">
        <f t="shared" si="129"/>
        <v>0</v>
      </c>
      <c r="J79" s="490">
        <v>0</v>
      </c>
      <c r="K79" s="55">
        <f t="shared" si="130"/>
        <v>0</v>
      </c>
      <c r="L79" s="55">
        <f t="shared" si="131"/>
        <v>0</v>
      </c>
      <c r="M79" s="490">
        <v>0</v>
      </c>
      <c r="N79" s="752">
        <v>0</v>
      </c>
      <c r="O79" s="327">
        <f>V79*-1</f>
        <v>0</v>
      </c>
      <c r="P79" s="578">
        <v>0</v>
      </c>
      <c r="Q79" s="325">
        <v>0</v>
      </c>
      <c r="R79" s="325">
        <v>0</v>
      </c>
      <c r="S79" s="325">
        <v>0</v>
      </c>
      <c r="T79" s="325">
        <v>0</v>
      </c>
      <c r="U79" s="492">
        <f>O79+P79+Q79+R79+S79+T79</f>
        <v>0</v>
      </c>
      <c r="V79" s="325">
        <v>0</v>
      </c>
      <c r="W79" s="325">
        <v>0</v>
      </c>
      <c r="X79" s="325">
        <v>0</v>
      </c>
      <c r="Y79" s="492">
        <f t="shared" si="132"/>
        <v>0</v>
      </c>
      <c r="Z79" s="492">
        <f t="shared" si="133"/>
        <v>0</v>
      </c>
      <c r="AA79" s="494">
        <f t="shared" si="134"/>
        <v>0</v>
      </c>
      <c r="AB79" s="494">
        <f t="shared" si="135"/>
        <v>0</v>
      </c>
      <c r="AC79" s="492">
        <v>0</v>
      </c>
      <c r="AD79" s="789">
        <f t="shared" si="136"/>
        <v>0</v>
      </c>
      <c r="AE79" s="851">
        <v>0</v>
      </c>
      <c r="AF79" s="764">
        <v>0</v>
      </c>
      <c r="AG79" s="763">
        <v>0</v>
      </c>
      <c r="AH79" s="763">
        <v>0</v>
      </c>
      <c r="AI79" s="326">
        <v>0</v>
      </c>
      <c r="AJ79" s="326">
        <v>0</v>
      </c>
      <c r="AK79" s="626">
        <f>SUM(AE79:AJ79)</f>
        <v>0</v>
      </c>
      <c r="AL79" s="696">
        <f>I79+AD79</f>
        <v>0</v>
      </c>
      <c r="AM79" s="492">
        <f>J79+U79</f>
        <v>0</v>
      </c>
      <c r="AN79" s="492">
        <f>Y79</f>
        <v>0</v>
      </c>
      <c r="AO79" s="492">
        <f t="shared" si="137"/>
        <v>0</v>
      </c>
      <c r="AP79" s="492">
        <f t="shared" si="137"/>
        <v>0</v>
      </c>
      <c r="AQ79" s="492">
        <f t="shared" si="137"/>
        <v>0</v>
      </c>
      <c r="AR79" s="626">
        <f>N79+AK79</f>
        <v>0</v>
      </c>
    </row>
    <row r="80" spans="1:44" ht="12.95" customHeight="1" x14ac:dyDescent="0.25">
      <c r="A80" s="144">
        <v>19</v>
      </c>
      <c r="B80" s="43">
        <v>5493</v>
      </c>
      <c r="C80" s="43">
        <v>691009813</v>
      </c>
      <c r="D80" s="43">
        <v>6181457</v>
      </c>
      <c r="E80" s="309" t="s">
        <v>472</v>
      </c>
      <c r="F80" s="43"/>
      <c r="G80" s="309"/>
      <c r="H80" s="130"/>
      <c r="I80" s="667">
        <f t="shared" ref="I80:AR80" si="138">SUM(I78:I79)</f>
        <v>3121509</v>
      </c>
      <c r="J80" s="572">
        <f t="shared" si="138"/>
        <v>2315659</v>
      </c>
      <c r="K80" s="351">
        <f t="shared" si="138"/>
        <v>782693</v>
      </c>
      <c r="L80" s="351">
        <f t="shared" si="138"/>
        <v>23157</v>
      </c>
      <c r="M80" s="572">
        <f t="shared" si="138"/>
        <v>0</v>
      </c>
      <c r="N80" s="767">
        <f t="shared" si="138"/>
        <v>4.1399999999999997</v>
      </c>
      <c r="O80" s="672">
        <f t="shared" si="138"/>
        <v>0</v>
      </c>
      <c r="P80" s="466">
        <f t="shared" si="138"/>
        <v>0</v>
      </c>
      <c r="Q80" s="351">
        <f t="shared" si="138"/>
        <v>0</v>
      </c>
      <c r="R80" s="351">
        <f t="shared" si="138"/>
        <v>0</v>
      </c>
      <c r="S80" s="351">
        <f t="shared" si="138"/>
        <v>0</v>
      </c>
      <c r="T80" s="351">
        <f t="shared" si="138"/>
        <v>0</v>
      </c>
      <c r="U80" s="351">
        <f t="shared" si="138"/>
        <v>0</v>
      </c>
      <c r="V80" s="351">
        <f t="shared" si="138"/>
        <v>0</v>
      </c>
      <c r="W80" s="351">
        <f t="shared" si="138"/>
        <v>0</v>
      </c>
      <c r="X80" s="351">
        <f t="shared" si="138"/>
        <v>0</v>
      </c>
      <c r="Y80" s="351">
        <f t="shared" si="138"/>
        <v>0</v>
      </c>
      <c r="Z80" s="351">
        <f t="shared" si="138"/>
        <v>0</v>
      </c>
      <c r="AA80" s="351">
        <f t="shared" si="138"/>
        <v>0</v>
      </c>
      <c r="AB80" s="351">
        <f t="shared" si="138"/>
        <v>0</v>
      </c>
      <c r="AC80" s="351">
        <f t="shared" si="138"/>
        <v>0</v>
      </c>
      <c r="AD80" s="845">
        <f t="shared" si="138"/>
        <v>0</v>
      </c>
      <c r="AE80" s="853">
        <f t="shared" si="138"/>
        <v>0</v>
      </c>
      <c r="AF80" s="768">
        <f t="shared" si="138"/>
        <v>0</v>
      </c>
      <c r="AG80" s="768">
        <f t="shared" si="138"/>
        <v>0</v>
      </c>
      <c r="AH80" s="768">
        <f t="shared" si="138"/>
        <v>0</v>
      </c>
      <c r="AI80" s="352">
        <f t="shared" si="138"/>
        <v>0</v>
      </c>
      <c r="AJ80" s="352">
        <f t="shared" si="138"/>
        <v>0</v>
      </c>
      <c r="AK80" s="204">
        <f t="shared" si="138"/>
        <v>0</v>
      </c>
      <c r="AL80" s="672">
        <f t="shared" si="138"/>
        <v>3121509</v>
      </c>
      <c r="AM80" s="466">
        <f t="shared" si="138"/>
        <v>2315659</v>
      </c>
      <c r="AN80" s="351">
        <f t="shared" si="138"/>
        <v>0</v>
      </c>
      <c r="AO80" s="351">
        <f t="shared" si="138"/>
        <v>782693</v>
      </c>
      <c r="AP80" s="351">
        <f t="shared" si="138"/>
        <v>23157</v>
      </c>
      <c r="AQ80" s="351">
        <f t="shared" si="138"/>
        <v>0</v>
      </c>
      <c r="AR80" s="204">
        <f t="shared" si="138"/>
        <v>4.1399999999999997</v>
      </c>
    </row>
    <row r="81" spans="1:44" ht="12.95" customHeight="1" x14ac:dyDescent="0.25">
      <c r="A81" s="205">
        <v>20</v>
      </c>
      <c r="B81" s="143">
        <v>2463</v>
      </c>
      <c r="C81" s="143">
        <v>600080056</v>
      </c>
      <c r="D81" s="206">
        <v>70982066</v>
      </c>
      <c r="E81" s="295" t="s">
        <v>473</v>
      </c>
      <c r="F81" s="143">
        <v>3113</v>
      </c>
      <c r="G81" s="295" t="s">
        <v>294</v>
      </c>
      <c r="H81" s="210" t="s">
        <v>262</v>
      </c>
      <c r="I81" s="586">
        <f t="shared" si="129"/>
        <v>8436427</v>
      </c>
      <c r="J81" s="490">
        <v>6258477</v>
      </c>
      <c r="K81" s="55">
        <f t="shared" si="130"/>
        <v>2115365</v>
      </c>
      <c r="L81" s="55">
        <f t="shared" si="131"/>
        <v>62585</v>
      </c>
      <c r="M81" s="490">
        <v>0</v>
      </c>
      <c r="N81" s="752">
        <v>9.0706000000000007</v>
      </c>
      <c r="O81" s="555">
        <f>V81*-1</f>
        <v>-12000</v>
      </c>
      <c r="P81" s="578">
        <v>0</v>
      </c>
      <c r="Q81" s="325">
        <v>0</v>
      </c>
      <c r="R81" s="325">
        <v>0</v>
      </c>
      <c r="S81" s="325">
        <v>0</v>
      </c>
      <c r="T81" s="325">
        <v>0</v>
      </c>
      <c r="U81" s="492">
        <f>O81+P81+Q81+R81+S81+T81</f>
        <v>-12000</v>
      </c>
      <c r="V81" s="325">
        <v>12000</v>
      </c>
      <c r="W81" s="325">
        <v>0</v>
      </c>
      <c r="X81" s="325">
        <v>0</v>
      </c>
      <c r="Y81" s="492">
        <f t="shared" ref="Y81:Y83" si="139">V81+W81+X81</f>
        <v>12000</v>
      </c>
      <c r="Z81" s="492">
        <f t="shared" ref="Z81:Z83" si="140">U81+Y81</f>
        <v>0</v>
      </c>
      <c r="AA81" s="494">
        <f t="shared" ref="AA81:AA83" si="141">ROUND((U81+Y81)*33.8%,0)</f>
        <v>0</v>
      </c>
      <c r="AB81" s="494">
        <f t="shared" ref="AB81:AB83" si="142">ROUND(U81*1%,0)</f>
        <v>-120</v>
      </c>
      <c r="AC81" s="492">
        <v>0</v>
      </c>
      <c r="AD81" s="789">
        <f t="shared" ref="AD81:AD83" si="143">Z81+AA81+AB81+AC81</f>
        <v>-120</v>
      </c>
      <c r="AE81" s="851">
        <v>0</v>
      </c>
      <c r="AF81" s="764">
        <v>0</v>
      </c>
      <c r="AG81" s="763">
        <v>0</v>
      </c>
      <c r="AH81" s="763">
        <v>0</v>
      </c>
      <c r="AI81" s="326">
        <v>0</v>
      </c>
      <c r="AJ81" s="326">
        <v>0</v>
      </c>
      <c r="AK81" s="626">
        <f>SUM(AE81:AJ81)</f>
        <v>0</v>
      </c>
      <c r="AL81" s="696">
        <f>I81+AD81</f>
        <v>8436307</v>
      </c>
      <c r="AM81" s="492">
        <f>J81+U81</f>
        <v>6246477</v>
      </c>
      <c r="AN81" s="492">
        <f>Y81</f>
        <v>12000</v>
      </c>
      <c r="AO81" s="492">
        <f t="shared" ref="AO81:AQ83" si="144">K81+AA81</f>
        <v>2115365</v>
      </c>
      <c r="AP81" s="492">
        <f t="shared" si="144"/>
        <v>62465</v>
      </c>
      <c r="AQ81" s="492">
        <f t="shared" si="144"/>
        <v>0</v>
      </c>
      <c r="AR81" s="626">
        <f>N81+AK81</f>
        <v>9.0706000000000007</v>
      </c>
    </row>
    <row r="82" spans="1:44" ht="12.95" customHeight="1" x14ac:dyDescent="0.25">
      <c r="A82" s="205">
        <v>20</v>
      </c>
      <c r="B82" s="299">
        <v>2463</v>
      </c>
      <c r="C82" s="299">
        <v>600080056</v>
      </c>
      <c r="D82" s="206">
        <v>70982066</v>
      </c>
      <c r="E82" s="295" t="s">
        <v>473</v>
      </c>
      <c r="F82" s="143">
        <v>3113</v>
      </c>
      <c r="G82" s="248" t="s">
        <v>278</v>
      </c>
      <c r="H82" s="210" t="s">
        <v>263</v>
      </c>
      <c r="I82" s="586">
        <f t="shared" si="129"/>
        <v>0</v>
      </c>
      <c r="J82" s="490">
        <v>0</v>
      </c>
      <c r="K82" s="55">
        <f t="shared" si="130"/>
        <v>0</v>
      </c>
      <c r="L82" s="55">
        <f t="shared" si="131"/>
        <v>0</v>
      </c>
      <c r="M82" s="490">
        <v>0</v>
      </c>
      <c r="N82" s="752">
        <v>0</v>
      </c>
      <c r="O82" s="327">
        <f>V82*-1</f>
        <v>0</v>
      </c>
      <c r="P82" s="578">
        <v>892908</v>
      </c>
      <c r="Q82" s="325">
        <v>0</v>
      </c>
      <c r="R82" s="325">
        <v>0</v>
      </c>
      <c r="S82" s="325">
        <v>0</v>
      </c>
      <c r="T82" s="325">
        <v>0</v>
      </c>
      <c r="U82" s="492">
        <f>O82+P82+Q82+R82+S82+T82</f>
        <v>892908</v>
      </c>
      <c r="V82" s="325">
        <v>0</v>
      </c>
      <c r="W82" s="325">
        <v>0</v>
      </c>
      <c r="X82" s="325">
        <v>0</v>
      </c>
      <c r="Y82" s="492">
        <f t="shared" si="139"/>
        <v>0</v>
      </c>
      <c r="Z82" s="492">
        <f t="shared" si="140"/>
        <v>892908</v>
      </c>
      <c r="AA82" s="494">
        <f t="shared" si="141"/>
        <v>301803</v>
      </c>
      <c r="AB82" s="494">
        <f t="shared" si="142"/>
        <v>8929</v>
      </c>
      <c r="AC82" s="492">
        <v>0</v>
      </c>
      <c r="AD82" s="789">
        <f t="shared" si="143"/>
        <v>1203640</v>
      </c>
      <c r="AE82" s="851">
        <v>0</v>
      </c>
      <c r="AF82" s="764">
        <v>2.25</v>
      </c>
      <c r="AG82" s="763">
        <v>0</v>
      </c>
      <c r="AH82" s="763">
        <v>0</v>
      </c>
      <c r="AI82" s="326">
        <v>0</v>
      </c>
      <c r="AJ82" s="326">
        <v>0</v>
      </c>
      <c r="AK82" s="626">
        <f>SUM(AE82:AJ82)</f>
        <v>2.25</v>
      </c>
      <c r="AL82" s="696">
        <f>I82+AD82</f>
        <v>1203640</v>
      </c>
      <c r="AM82" s="492">
        <f>J82+U82</f>
        <v>892908</v>
      </c>
      <c r="AN82" s="492">
        <f>Y82</f>
        <v>0</v>
      </c>
      <c r="AO82" s="492">
        <f t="shared" si="144"/>
        <v>301803</v>
      </c>
      <c r="AP82" s="492">
        <f t="shared" si="144"/>
        <v>8929</v>
      </c>
      <c r="AQ82" s="492">
        <f t="shared" si="144"/>
        <v>0</v>
      </c>
      <c r="AR82" s="626">
        <f>N82+AK82</f>
        <v>2.25</v>
      </c>
    </row>
    <row r="83" spans="1:44" ht="12.95" customHeight="1" x14ac:dyDescent="0.25">
      <c r="A83" s="205">
        <v>20</v>
      </c>
      <c r="B83" s="299">
        <v>2463</v>
      </c>
      <c r="C83" s="299">
        <v>600080056</v>
      </c>
      <c r="D83" s="206">
        <v>70982066</v>
      </c>
      <c r="E83" s="295" t="s">
        <v>473</v>
      </c>
      <c r="F83" s="143">
        <v>3143</v>
      </c>
      <c r="G83" s="248" t="s">
        <v>794</v>
      </c>
      <c r="H83" s="210" t="s">
        <v>262</v>
      </c>
      <c r="I83" s="586">
        <f t="shared" si="129"/>
        <v>1127386</v>
      </c>
      <c r="J83" s="490">
        <v>836340</v>
      </c>
      <c r="K83" s="55">
        <f t="shared" si="130"/>
        <v>282683</v>
      </c>
      <c r="L83" s="55">
        <f t="shared" si="131"/>
        <v>8363</v>
      </c>
      <c r="M83" s="490">
        <v>0</v>
      </c>
      <c r="N83" s="752">
        <v>1.58</v>
      </c>
      <c r="O83" s="327">
        <f>V83*-1</f>
        <v>0</v>
      </c>
      <c r="P83" s="578">
        <v>0</v>
      </c>
      <c r="Q83" s="325">
        <v>0</v>
      </c>
      <c r="R83" s="325">
        <v>0</v>
      </c>
      <c r="S83" s="325">
        <v>0</v>
      </c>
      <c r="T83" s="325">
        <v>0</v>
      </c>
      <c r="U83" s="492">
        <f>O83+P83+Q83+R83+S83+T83</f>
        <v>0</v>
      </c>
      <c r="V83" s="325">
        <v>0</v>
      </c>
      <c r="W83" s="325">
        <v>0</v>
      </c>
      <c r="X83" s="325">
        <v>0</v>
      </c>
      <c r="Y83" s="492">
        <f t="shared" si="139"/>
        <v>0</v>
      </c>
      <c r="Z83" s="492">
        <f t="shared" si="140"/>
        <v>0</v>
      </c>
      <c r="AA83" s="494">
        <f t="shared" si="141"/>
        <v>0</v>
      </c>
      <c r="AB83" s="494">
        <f t="shared" si="142"/>
        <v>0</v>
      </c>
      <c r="AC83" s="492">
        <v>0</v>
      </c>
      <c r="AD83" s="789">
        <f t="shared" si="143"/>
        <v>0</v>
      </c>
      <c r="AE83" s="851">
        <v>0</v>
      </c>
      <c r="AF83" s="764">
        <v>0</v>
      </c>
      <c r="AG83" s="763">
        <v>0</v>
      </c>
      <c r="AH83" s="763">
        <v>0</v>
      </c>
      <c r="AI83" s="326">
        <v>0</v>
      </c>
      <c r="AJ83" s="326">
        <v>0</v>
      </c>
      <c r="AK83" s="626">
        <f>SUM(AE83:AJ83)</f>
        <v>0</v>
      </c>
      <c r="AL83" s="696">
        <f>I83+AD83</f>
        <v>1127386</v>
      </c>
      <c r="AM83" s="492">
        <f>J83+U83</f>
        <v>836340</v>
      </c>
      <c r="AN83" s="492">
        <f>Y83</f>
        <v>0</v>
      </c>
      <c r="AO83" s="492">
        <f t="shared" si="144"/>
        <v>282683</v>
      </c>
      <c r="AP83" s="492">
        <f t="shared" si="144"/>
        <v>8363</v>
      </c>
      <c r="AQ83" s="492">
        <f t="shared" si="144"/>
        <v>0</v>
      </c>
      <c r="AR83" s="626">
        <f>N83+AK83</f>
        <v>1.58</v>
      </c>
    </row>
    <row r="84" spans="1:44" ht="12.75" customHeight="1" x14ac:dyDescent="0.25">
      <c r="A84" s="144">
        <v>20</v>
      </c>
      <c r="B84" s="42">
        <v>2463</v>
      </c>
      <c r="C84" s="42">
        <v>600080056</v>
      </c>
      <c r="D84" s="42">
        <v>70982066</v>
      </c>
      <c r="E84" s="297" t="s">
        <v>474</v>
      </c>
      <c r="F84" s="44"/>
      <c r="G84" s="310"/>
      <c r="H84" s="131"/>
      <c r="I84" s="669">
        <f t="shared" ref="I84:AR84" si="145">SUM(I81:I83)</f>
        <v>9563813</v>
      </c>
      <c r="J84" s="574">
        <f t="shared" si="145"/>
        <v>7094817</v>
      </c>
      <c r="K84" s="361">
        <f t="shared" si="145"/>
        <v>2398048</v>
      </c>
      <c r="L84" s="361">
        <f t="shared" si="145"/>
        <v>70948</v>
      </c>
      <c r="M84" s="574">
        <f t="shared" si="145"/>
        <v>0</v>
      </c>
      <c r="N84" s="774">
        <f t="shared" si="145"/>
        <v>10.650600000000001</v>
      </c>
      <c r="O84" s="674">
        <f t="shared" si="145"/>
        <v>-12000</v>
      </c>
      <c r="P84" s="468">
        <f t="shared" si="145"/>
        <v>892908</v>
      </c>
      <c r="Q84" s="361">
        <f t="shared" si="145"/>
        <v>0</v>
      </c>
      <c r="R84" s="361">
        <f t="shared" si="145"/>
        <v>0</v>
      </c>
      <c r="S84" s="361">
        <f t="shared" si="145"/>
        <v>0</v>
      </c>
      <c r="T84" s="361">
        <f t="shared" si="145"/>
        <v>0</v>
      </c>
      <c r="U84" s="361">
        <f t="shared" si="145"/>
        <v>880908</v>
      </c>
      <c r="V84" s="361">
        <f t="shared" si="145"/>
        <v>12000</v>
      </c>
      <c r="W84" s="361">
        <f t="shared" si="145"/>
        <v>0</v>
      </c>
      <c r="X84" s="361">
        <f t="shared" si="145"/>
        <v>0</v>
      </c>
      <c r="Y84" s="361">
        <f t="shared" si="145"/>
        <v>12000</v>
      </c>
      <c r="Z84" s="361">
        <f t="shared" si="145"/>
        <v>892908</v>
      </c>
      <c r="AA84" s="361">
        <f t="shared" si="145"/>
        <v>301803</v>
      </c>
      <c r="AB84" s="361">
        <f t="shared" si="145"/>
        <v>8809</v>
      </c>
      <c r="AC84" s="361">
        <f t="shared" si="145"/>
        <v>0</v>
      </c>
      <c r="AD84" s="847">
        <f t="shared" si="145"/>
        <v>1203520</v>
      </c>
      <c r="AE84" s="856">
        <f t="shared" si="145"/>
        <v>0</v>
      </c>
      <c r="AF84" s="775">
        <f t="shared" si="145"/>
        <v>2.25</v>
      </c>
      <c r="AG84" s="775">
        <f t="shared" si="145"/>
        <v>0</v>
      </c>
      <c r="AH84" s="775">
        <f t="shared" si="145"/>
        <v>0</v>
      </c>
      <c r="AI84" s="362">
        <f t="shared" si="145"/>
        <v>0</v>
      </c>
      <c r="AJ84" s="362">
        <f t="shared" si="145"/>
        <v>0</v>
      </c>
      <c r="AK84" s="276">
        <f t="shared" si="145"/>
        <v>2.25</v>
      </c>
      <c r="AL84" s="674">
        <f t="shared" si="145"/>
        <v>10767333</v>
      </c>
      <c r="AM84" s="468">
        <f t="shared" si="145"/>
        <v>7975725</v>
      </c>
      <c r="AN84" s="361">
        <f t="shared" si="145"/>
        <v>12000</v>
      </c>
      <c r="AO84" s="361">
        <f t="shared" si="145"/>
        <v>2699851</v>
      </c>
      <c r="AP84" s="361">
        <f t="shared" si="145"/>
        <v>79757</v>
      </c>
      <c r="AQ84" s="361">
        <f t="shared" si="145"/>
        <v>0</v>
      </c>
      <c r="AR84" s="276">
        <f t="shared" si="145"/>
        <v>12.900600000000001</v>
      </c>
    </row>
    <row r="85" spans="1:44" ht="12.95" customHeight="1" x14ac:dyDescent="0.25">
      <c r="A85" s="205">
        <v>21</v>
      </c>
      <c r="B85" s="143">
        <v>3427</v>
      </c>
      <c r="C85" s="143">
        <v>650023340</v>
      </c>
      <c r="D85" s="206">
        <v>70982988</v>
      </c>
      <c r="E85" s="142" t="s">
        <v>475</v>
      </c>
      <c r="F85" s="143">
        <v>3111</v>
      </c>
      <c r="G85" s="296" t="s">
        <v>290</v>
      </c>
      <c r="H85" s="210" t="s">
        <v>262</v>
      </c>
      <c r="I85" s="586">
        <f t="shared" si="129"/>
        <v>3259243</v>
      </c>
      <c r="J85" s="490">
        <v>2417836</v>
      </c>
      <c r="K85" s="55">
        <f t="shared" si="130"/>
        <v>817229</v>
      </c>
      <c r="L85" s="55">
        <f t="shared" si="131"/>
        <v>24178</v>
      </c>
      <c r="M85" s="490">
        <v>0</v>
      </c>
      <c r="N85" s="752">
        <v>4</v>
      </c>
      <c r="O85" s="555">
        <f t="shared" ref="O85:O88" si="146">V85*-1</f>
        <v>0</v>
      </c>
      <c r="P85" s="578">
        <v>0</v>
      </c>
      <c r="Q85" s="325">
        <v>0</v>
      </c>
      <c r="R85" s="325">
        <v>0</v>
      </c>
      <c r="S85" s="325">
        <v>0</v>
      </c>
      <c r="T85" s="325">
        <v>0</v>
      </c>
      <c r="U85" s="492">
        <f>O85+P85+Q85+R85+S85+T85</f>
        <v>0</v>
      </c>
      <c r="V85" s="325">
        <v>0</v>
      </c>
      <c r="W85" s="325">
        <v>0</v>
      </c>
      <c r="X85" s="325">
        <v>0</v>
      </c>
      <c r="Y85" s="492">
        <f t="shared" ref="Y85:Y88" si="147">V85+W85+X85</f>
        <v>0</v>
      </c>
      <c r="Z85" s="492">
        <f t="shared" ref="Z85:Z88" si="148">U85+Y85</f>
        <v>0</v>
      </c>
      <c r="AA85" s="494">
        <f t="shared" ref="AA85:AA88" si="149">ROUND((U85+Y85)*33.8%,0)</f>
        <v>0</v>
      </c>
      <c r="AB85" s="494">
        <f t="shared" ref="AB85:AB88" si="150">ROUND(U85*1%,0)</f>
        <v>0</v>
      </c>
      <c r="AC85" s="492">
        <v>0</v>
      </c>
      <c r="AD85" s="789">
        <f t="shared" ref="AD85:AD88" si="151">Z85+AA85+AB85+AC85</f>
        <v>0</v>
      </c>
      <c r="AE85" s="851">
        <v>0</v>
      </c>
      <c r="AF85" s="764">
        <v>0</v>
      </c>
      <c r="AG85" s="763">
        <v>0</v>
      </c>
      <c r="AH85" s="763">
        <v>0</v>
      </c>
      <c r="AI85" s="326">
        <v>0</v>
      </c>
      <c r="AJ85" s="326">
        <v>0</v>
      </c>
      <c r="AK85" s="626">
        <f>SUM(AE85:AJ85)</f>
        <v>0</v>
      </c>
      <c r="AL85" s="696">
        <f>I85+AD85</f>
        <v>3259243</v>
      </c>
      <c r="AM85" s="492">
        <f>J85+U85</f>
        <v>2417836</v>
      </c>
      <c r="AN85" s="492">
        <f>Y85</f>
        <v>0</v>
      </c>
      <c r="AO85" s="492">
        <f t="shared" ref="AO85:AQ88" si="152">K85+AA85</f>
        <v>817229</v>
      </c>
      <c r="AP85" s="492">
        <f t="shared" si="152"/>
        <v>24178</v>
      </c>
      <c r="AQ85" s="492">
        <f t="shared" si="152"/>
        <v>0</v>
      </c>
      <c r="AR85" s="626">
        <f>N85+AK85</f>
        <v>4</v>
      </c>
    </row>
    <row r="86" spans="1:44" ht="12.95" customHeight="1" x14ac:dyDescent="0.25">
      <c r="A86" s="205">
        <v>21</v>
      </c>
      <c r="B86" s="143">
        <v>3427</v>
      </c>
      <c r="C86" s="143">
        <v>650023340</v>
      </c>
      <c r="D86" s="206">
        <v>70982988</v>
      </c>
      <c r="E86" s="295" t="s">
        <v>475</v>
      </c>
      <c r="F86" s="143">
        <v>3113</v>
      </c>
      <c r="G86" s="295" t="s">
        <v>294</v>
      </c>
      <c r="H86" s="210" t="s">
        <v>262</v>
      </c>
      <c r="I86" s="586">
        <f t="shared" si="129"/>
        <v>12382790</v>
      </c>
      <c r="J86" s="490">
        <v>9186046</v>
      </c>
      <c r="K86" s="55">
        <f>ROUND(J86*33.8%,0)-1</f>
        <v>3104883</v>
      </c>
      <c r="L86" s="55">
        <f>ROUND(J86*1%,0)+1</f>
        <v>91861</v>
      </c>
      <c r="M86" s="490">
        <v>0</v>
      </c>
      <c r="N86" s="752">
        <v>13.136100000000001</v>
      </c>
      <c r="O86" s="327">
        <f t="shared" si="146"/>
        <v>0</v>
      </c>
      <c r="P86" s="578">
        <v>0</v>
      </c>
      <c r="Q86" s="325">
        <v>0</v>
      </c>
      <c r="R86" s="325">
        <v>0</v>
      </c>
      <c r="S86" s="325">
        <v>0</v>
      </c>
      <c r="T86" s="325">
        <v>0</v>
      </c>
      <c r="U86" s="492">
        <f>O86+P86+Q86+R86+S86+T86</f>
        <v>0</v>
      </c>
      <c r="V86" s="325">
        <v>0</v>
      </c>
      <c r="W86" s="325">
        <v>0</v>
      </c>
      <c r="X86" s="325">
        <v>0</v>
      </c>
      <c r="Y86" s="492">
        <f t="shared" si="147"/>
        <v>0</v>
      </c>
      <c r="Z86" s="492">
        <f t="shared" si="148"/>
        <v>0</v>
      </c>
      <c r="AA86" s="494">
        <f t="shared" si="149"/>
        <v>0</v>
      </c>
      <c r="AB86" s="494">
        <f t="shared" si="150"/>
        <v>0</v>
      </c>
      <c r="AC86" s="492">
        <v>0</v>
      </c>
      <c r="AD86" s="789">
        <f t="shared" si="151"/>
        <v>0</v>
      </c>
      <c r="AE86" s="851">
        <v>0</v>
      </c>
      <c r="AF86" s="764">
        <v>0</v>
      </c>
      <c r="AG86" s="763">
        <v>0</v>
      </c>
      <c r="AH86" s="763">
        <v>0</v>
      </c>
      <c r="AI86" s="326">
        <v>0</v>
      </c>
      <c r="AJ86" s="326">
        <v>0</v>
      </c>
      <c r="AK86" s="626">
        <f>SUM(AE86:AJ86)</f>
        <v>0</v>
      </c>
      <c r="AL86" s="696">
        <f>I86+AD86</f>
        <v>12382790</v>
      </c>
      <c r="AM86" s="492">
        <f>J86+U86</f>
        <v>9186046</v>
      </c>
      <c r="AN86" s="492">
        <f>Y86</f>
        <v>0</v>
      </c>
      <c r="AO86" s="492">
        <f t="shared" si="152"/>
        <v>3104883</v>
      </c>
      <c r="AP86" s="492">
        <f t="shared" si="152"/>
        <v>91861</v>
      </c>
      <c r="AQ86" s="492">
        <f t="shared" si="152"/>
        <v>0</v>
      </c>
      <c r="AR86" s="626">
        <f>N86+AK86</f>
        <v>13.136100000000001</v>
      </c>
    </row>
    <row r="87" spans="1:44" ht="12.95" customHeight="1" x14ac:dyDescent="0.25">
      <c r="A87" s="205">
        <v>21</v>
      </c>
      <c r="B87" s="143">
        <v>3427</v>
      </c>
      <c r="C87" s="143">
        <v>650023340</v>
      </c>
      <c r="D87" s="206">
        <v>70982988</v>
      </c>
      <c r="E87" s="295" t="s">
        <v>475</v>
      </c>
      <c r="F87" s="143">
        <v>3113</v>
      </c>
      <c r="G87" s="248" t="s">
        <v>278</v>
      </c>
      <c r="H87" s="210" t="s">
        <v>263</v>
      </c>
      <c r="I87" s="586">
        <f t="shared" si="129"/>
        <v>0</v>
      </c>
      <c r="J87" s="490">
        <v>0</v>
      </c>
      <c r="K87" s="55">
        <f t="shared" si="130"/>
        <v>0</v>
      </c>
      <c r="L87" s="55">
        <f t="shared" si="131"/>
        <v>0</v>
      </c>
      <c r="M87" s="490">
        <v>0</v>
      </c>
      <c r="N87" s="752">
        <v>0</v>
      </c>
      <c r="O87" s="327">
        <f t="shared" si="146"/>
        <v>0</v>
      </c>
      <c r="P87" s="578">
        <f>2765122+24283</f>
        <v>2789405</v>
      </c>
      <c r="Q87" s="325">
        <v>0</v>
      </c>
      <c r="R87" s="325">
        <v>0</v>
      </c>
      <c r="S87" s="325">
        <v>0</v>
      </c>
      <c r="T87" s="325">
        <v>0</v>
      </c>
      <c r="U87" s="492">
        <f>O87+P87+Q87+R87+S87+T87</f>
        <v>2789405</v>
      </c>
      <c r="V87" s="325">
        <v>0</v>
      </c>
      <c r="W87" s="325">
        <v>0</v>
      </c>
      <c r="X87" s="325">
        <v>0</v>
      </c>
      <c r="Y87" s="492">
        <f t="shared" si="147"/>
        <v>0</v>
      </c>
      <c r="Z87" s="492">
        <f t="shared" si="148"/>
        <v>2789405</v>
      </c>
      <c r="AA87" s="494">
        <f t="shared" si="149"/>
        <v>942819</v>
      </c>
      <c r="AB87" s="494">
        <f t="shared" si="150"/>
        <v>27894</v>
      </c>
      <c r="AC87" s="492">
        <v>0</v>
      </c>
      <c r="AD87" s="789">
        <f t="shared" si="151"/>
        <v>3760118</v>
      </c>
      <c r="AE87" s="851">
        <v>0</v>
      </c>
      <c r="AF87" s="764">
        <f>6.77+0.05</f>
        <v>6.8199999999999994</v>
      </c>
      <c r="AG87" s="763">
        <v>0</v>
      </c>
      <c r="AH87" s="763">
        <v>0</v>
      </c>
      <c r="AI87" s="326">
        <v>0</v>
      </c>
      <c r="AJ87" s="326">
        <v>0</v>
      </c>
      <c r="AK87" s="626">
        <f>SUM(AE87:AJ87)</f>
        <v>6.8199999999999994</v>
      </c>
      <c r="AL87" s="696">
        <f>I87+AD87</f>
        <v>3760118</v>
      </c>
      <c r="AM87" s="492">
        <f>J87+U87</f>
        <v>2789405</v>
      </c>
      <c r="AN87" s="492">
        <f>Y87</f>
        <v>0</v>
      </c>
      <c r="AO87" s="492">
        <f t="shared" si="152"/>
        <v>942819</v>
      </c>
      <c r="AP87" s="492">
        <f t="shared" si="152"/>
        <v>27894</v>
      </c>
      <c r="AQ87" s="492">
        <f t="shared" si="152"/>
        <v>0</v>
      </c>
      <c r="AR87" s="626">
        <f>N87+AK87</f>
        <v>6.8199999999999994</v>
      </c>
    </row>
    <row r="88" spans="1:44" ht="12.95" customHeight="1" x14ac:dyDescent="0.25">
      <c r="A88" s="205">
        <v>21</v>
      </c>
      <c r="B88" s="143">
        <v>3427</v>
      </c>
      <c r="C88" s="143">
        <v>650023340</v>
      </c>
      <c r="D88" s="206">
        <v>70982988</v>
      </c>
      <c r="E88" s="295" t="s">
        <v>475</v>
      </c>
      <c r="F88" s="143">
        <v>3143</v>
      </c>
      <c r="G88" s="248" t="s">
        <v>794</v>
      </c>
      <c r="H88" s="210" t="s">
        <v>262</v>
      </c>
      <c r="I88" s="586">
        <f t="shared" si="129"/>
        <v>1442801</v>
      </c>
      <c r="J88" s="490">
        <v>1070327</v>
      </c>
      <c r="K88" s="55">
        <f t="shared" si="130"/>
        <v>361771</v>
      </c>
      <c r="L88" s="55">
        <f t="shared" si="131"/>
        <v>10703</v>
      </c>
      <c r="M88" s="490">
        <v>0</v>
      </c>
      <c r="N88" s="752">
        <v>2.0535999999999999</v>
      </c>
      <c r="O88" s="327">
        <f t="shared" si="146"/>
        <v>0</v>
      </c>
      <c r="P88" s="578">
        <v>0</v>
      </c>
      <c r="Q88" s="325">
        <v>0</v>
      </c>
      <c r="R88" s="325">
        <v>0</v>
      </c>
      <c r="S88" s="325">
        <v>0</v>
      </c>
      <c r="T88" s="325">
        <v>0</v>
      </c>
      <c r="U88" s="492">
        <f>O88+P88+Q88+R88+S88+T88</f>
        <v>0</v>
      </c>
      <c r="V88" s="325">
        <v>0</v>
      </c>
      <c r="W88" s="325">
        <v>0</v>
      </c>
      <c r="X88" s="325">
        <v>0</v>
      </c>
      <c r="Y88" s="492">
        <f t="shared" si="147"/>
        <v>0</v>
      </c>
      <c r="Z88" s="492">
        <f t="shared" si="148"/>
        <v>0</v>
      </c>
      <c r="AA88" s="494">
        <f t="shared" si="149"/>
        <v>0</v>
      </c>
      <c r="AB88" s="494">
        <f t="shared" si="150"/>
        <v>0</v>
      </c>
      <c r="AC88" s="492">
        <v>0</v>
      </c>
      <c r="AD88" s="789">
        <f t="shared" si="151"/>
        <v>0</v>
      </c>
      <c r="AE88" s="851">
        <v>0</v>
      </c>
      <c r="AF88" s="764">
        <v>0</v>
      </c>
      <c r="AG88" s="763">
        <v>0</v>
      </c>
      <c r="AH88" s="763">
        <v>0</v>
      </c>
      <c r="AI88" s="326">
        <v>0</v>
      </c>
      <c r="AJ88" s="326">
        <v>0</v>
      </c>
      <c r="AK88" s="626">
        <f>SUM(AE88:AJ88)</f>
        <v>0</v>
      </c>
      <c r="AL88" s="696">
        <f>I88+AD88</f>
        <v>1442801</v>
      </c>
      <c r="AM88" s="492">
        <f>J88+U88</f>
        <v>1070327</v>
      </c>
      <c r="AN88" s="492">
        <f>Y88</f>
        <v>0</v>
      </c>
      <c r="AO88" s="492">
        <f t="shared" si="152"/>
        <v>361771</v>
      </c>
      <c r="AP88" s="492">
        <f t="shared" si="152"/>
        <v>10703</v>
      </c>
      <c r="AQ88" s="492">
        <f t="shared" si="152"/>
        <v>0</v>
      </c>
      <c r="AR88" s="626">
        <f>N88+AK88</f>
        <v>2.0535999999999999</v>
      </c>
    </row>
    <row r="89" spans="1:44" ht="12.95" customHeight="1" x14ac:dyDescent="0.25">
      <c r="A89" s="144">
        <v>21</v>
      </c>
      <c r="B89" s="42">
        <v>3427</v>
      </c>
      <c r="C89" s="42">
        <v>650023340</v>
      </c>
      <c r="D89" s="42">
        <v>70982988</v>
      </c>
      <c r="E89" s="297" t="s">
        <v>476</v>
      </c>
      <c r="F89" s="41"/>
      <c r="G89" s="297"/>
      <c r="H89" s="128"/>
      <c r="I89" s="668">
        <f t="shared" ref="I89:AR89" si="153">SUM(I85:I88)</f>
        <v>17084834</v>
      </c>
      <c r="J89" s="573">
        <f t="shared" si="153"/>
        <v>12674209</v>
      </c>
      <c r="K89" s="368">
        <f t="shared" si="153"/>
        <v>4283883</v>
      </c>
      <c r="L89" s="368">
        <f t="shared" si="153"/>
        <v>126742</v>
      </c>
      <c r="M89" s="573">
        <f t="shared" si="153"/>
        <v>0</v>
      </c>
      <c r="N89" s="769">
        <f t="shared" si="153"/>
        <v>19.189699999999998</v>
      </c>
      <c r="O89" s="673">
        <f t="shared" si="153"/>
        <v>0</v>
      </c>
      <c r="P89" s="467">
        <f t="shared" si="153"/>
        <v>2789405</v>
      </c>
      <c r="Q89" s="368">
        <f t="shared" si="153"/>
        <v>0</v>
      </c>
      <c r="R89" s="368">
        <f t="shared" si="153"/>
        <v>0</v>
      </c>
      <c r="S89" s="368">
        <f t="shared" si="153"/>
        <v>0</v>
      </c>
      <c r="T89" s="368">
        <f t="shared" si="153"/>
        <v>0</v>
      </c>
      <c r="U89" s="368">
        <f t="shared" si="153"/>
        <v>2789405</v>
      </c>
      <c r="V89" s="368">
        <f t="shared" si="153"/>
        <v>0</v>
      </c>
      <c r="W89" s="368">
        <f t="shared" si="153"/>
        <v>0</v>
      </c>
      <c r="X89" s="368">
        <f t="shared" si="153"/>
        <v>0</v>
      </c>
      <c r="Y89" s="368">
        <f t="shared" si="153"/>
        <v>0</v>
      </c>
      <c r="Z89" s="368">
        <f t="shared" si="153"/>
        <v>2789405</v>
      </c>
      <c r="AA89" s="368">
        <f t="shared" si="153"/>
        <v>942819</v>
      </c>
      <c r="AB89" s="368">
        <f t="shared" si="153"/>
        <v>27894</v>
      </c>
      <c r="AC89" s="368">
        <f t="shared" si="153"/>
        <v>0</v>
      </c>
      <c r="AD89" s="846">
        <f t="shared" si="153"/>
        <v>3760118</v>
      </c>
      <c r="AE89" s="854">
        <f t="shared" si="153"/>
        <v>0</v>
      </c>
      <c r="AF89" s="770">
        <f t="shared" si="153"/>
        <v>6.8199999999999994</v>
      </c>
      <c r="AG89" s="770">
        <f t="shared" si="153"/>
        <v>0</v>
      </c>
      <c r="AH89" s="770">
        <f t="shared" si="153"/>
        <v>0</v>
      </c>
      <c r="AI89" s="369">
        <f t="shared" si="153"/>
        <v>0</v>
      </c>
      <c r="AJ89" s="369">
        <f t="shared" si="153"/>
        <v>0</v>
      </c>
      <c r="AK89" s="302">
        <f t="shared" si="153"/>
        <v>6.8199999999999994</v>
      </c>
      <c r="AL89" s="673">
        <f t="shared" si="153"/>
        <v>20844952</v>
      </c>
      <c r="AM89" s="467">
        <f t="shared" si="153"/>
        <v>15463614</v>
      </c>
      <c r="AN89" s="368">
        <f t="shared" si="153"/>
        <v>0</v>
      </c>
      <c r="AO89" s="368">
        <f t="shared" si="153"/>
        <v>5226702</v>
      </c>
      <c r="AP89" s="368">
        <f t="shared" si="153"/>
        <v>154636</v>
      </c>
      <c r="AQ89" s="368">
        <f t="shared" si="153"/>
        <v>0</v>
      </c>
      <c r="AR89" s="302">
        <f t="shared" si="153"/>
        <v>26.009699999999999</v>
      </c>
    </row>
    <row r="90" spans="1:44" ht="12.95" customHeight="1" x14ac:dyDescent="0.25">
      <c r="A90" s="205">
        <v>22</v>
      </c>
      <c r="B90" s="143">
        <v>5484</v>
      </c>
      <c r="C90" s="143">
        <v>600098532</v>
      </c>
      <c r="D90" s="206">
        <v>72743255</v>
      </c>
      <c r="E90" s="295" t="s">
        <v>477</v>
      </c>
      <c r="F90" s="143">
        <v>3111</v>
      </c>
      <c r="G90" s="296" t="s">
        <v>290</v>
      </c>
      <c r="H90" s="210" t="s">
        <v>262</v>
      </c>
      <c r="I90" s="586">
        <f t="shared" si="129"/>
        <v>5295882</v>
      </c>
      <c r="J90" s="490">
        <v>3928696</v>
      </c>
      <c r="K90" s="55">
        <f t="shared" si="130"/>
        <v>1327899</v>
      </c>
      <c r="L90" s="55">
        <f t="shared" si="131"/>
        <v>39287</v>
      </c>
      <c r="M90" s="490">
        <v>0</v>
      </c>
      <c r="N90" s="752">
        <v>7</v>
      </c>
      <c r="O90" s="555">
        <f>V90*-1</f>
        <v>-24000</v>
      </c>
      <c r="P90" s="578">
        <v>0</v>
      </c>
      <c r="Q90" s="325">
        <v>0</v>
      </c>
      <c r="R90" s="325">
        <v>0</v>
      </c>
      <c r="S90" s="325">
        <v>0</v>
      </c>
      <c r="T90" s="325">
        <v>0</v>
      </c>
      <c r="U90" s="492">
        <f>O90+P90+Q90+R90+S90+T90</f>
        <v>-24000</v>
      </c>
      <c r="V90" s="325">
        <v>24000</v>
      </c>
      <c r="W90" s="325">
        <v>0</v>
      </c>
      <c r="X90" s="325">
        <v>0</v>
      </c>
      <c r="Y90" s="492">
        <f t="shared" ref="Y90:Y91" si="154">V90+W90+X90</f>
        <v>24000</v>
      </c>
      <c r="Z90" s="492">
        <f t="shared" ref="Z90:Z91" si="155">U90+Y90</f>
        <v>0</v>
      </c>
      <c r="AA90" s="494">
        <f t="shared" ref="AA90:AA91" si="156">ROUND((U90+Y90)*33.8%,0)</f>
        <v>0</v>
      </c>
      <c r="AB90" s="494">
        <f t="shared" ref="AB90:AB91" si="157">ROUND(U90*1%,0)</f>
        <v>-240</v>
      </c>
      <c r="AC90" s="492">
        <v>0</v>
      </c>
      <c r="AD90" s="789">
        <f t="shared" ref="AD90:AD91" si="158">Z90+AA90+AB90+AC90</f>
        <v>-240</v>
      </c>
      <c r="AE90" s="851">
        <v>0</v>
      </c>
      <c r="AF90" s="764">
        <v>0</v>
      </c>
      <c r="AG90" s="763">
        <v>0</v>
      </c>
      <c r="AH90" s="763">
        <v>0</v>
      </c>
      <c r="AI90" s="326">
        <v>0</v>
      </c>
      <c r="AJ90" s="326">
        <v>0</v>
      </c>
      <c r="AK90" s="626">
        <f>SUM(AE90:AJ90)</f>
        <v>0</v>
      </c>
      <c r="AL90" s="696">
        <f>I90+AD90</f>
        <v>5295642</v>
      </c>
      <c r="AM90" s="492">
        <f>J90+U90</f>
        <v>3904696</v>
      </c>
      <c r="AN90" s="492">
        <f>Y90</f>
        <v>24000</v>
      </c>
      <c r="AO90" s="492">
        <f t="shared" ref="AO90:AQ91" si="159">K90+AA90</f>
        <v>1327899</v>
      </c>
      <c r="AP90" s="492">
        <f t="shared" si="159"/>
        <v>39047</v>
      </c>
      <c r="AQ90" s="492">
        <f t="shared" si="159"/>
        <v>0</v>
      </c>
      <c r="AR90" s="626">
        <f>N90+AK90</f>
        <v>7</v>
      </c>
    </row>
    <row r="91" spans="1:44" ht="12.95" customHeight="1" x14ac:dyDescent="0.25">
      <c r="A91" s="205">
        <v>22</v>
      </c>
      <c r="B91" s="143">
        <v>5484</v>
      </c>
      <c r="C91" s="143">
        <v>600098532</v>
      </c>
      <c r="D91" s="206">
        <v>72743255</v>
      </c>
      <c r="E91" s="295" t="s">
        <v>477</v>
      </c>
      <c r="F91" s="143">
        <v>3111</v>
      </c>
      <c r="G91" s="296" t="s">
        <v>278</v>
      </c>
      <c r="H91" s="210" t="s">
        <v>263</v>
      </c>
      <c r="I91" s="586">
        <f t="shared" si="129"/>
        <v>0</v>
      </c>
      <c r="J91" s="490">
        <v>0</v>
      </c>
      <c r="K91" s="55">
        <f t="shared" si="130"/>
        <v>0</v>
      </c>
      <c r="L91" s="55">
        <f t="shared" si="131"/>
        <v>0</v>
      </c>
      <c r="M91" s="490">
        <v>0</v>
      </c>
      <c r="N91" s="752">
        <v>0</v>
      </c>
      <c r="O91" s="327">
        <f>V91*-1</f>
        <v>0</v>
      </c>
      <c r="P91" s="578">
        <v>198424</v>
      </c>
      <c r="Q91" s="325">
        <v>0</v>
      </c>
      <c r="R91" s="325">
        <v>0</v>
      </c>
      <c r="S91" s="325">
        <v>0</v>
      </c>
      <c r="T91" s="325">
        <v>0</v>
      </c>
      <c r="U91" s="492">
        <f>O91+P91+Q91+R91+S91+T91</f>
        <v>198424</v>
      </c>
      <c r="V91" s="325">
        <v>0</v>
      </c>
      <c r="W91" s="325">
        <v>0</v>
      </c>
      <c r="X91" s="325">
        <v>0</v>
      </c>
      <c r="Y91" s="492">
        <f t="shared" si="154"/>
        <v>0</v>
      </c>
      <c r="Z91" s="492">
        <f t="shared" si="155"/>
        <v>198424</v>
      </c>
      <c r="AA91" s="494">
        <f t="shared" si="156"/>
        <v>67067</v>
      </c>
      <c r="AB91" s="494">
        <f t="shared" si="157"/>
        <v>1984</v>
      </c>
      <c r="AC91" s="492">
        <v>0</v>
      </c>
      <c r="AD91" s="789">
        <f t="shared" si="158"/>
        <v>267475</v>
      </c>
      <c r="AE91" s="851">
        <v>0</v>
      </c>
      <c r="AF91" s="764">
        <v>0.5</v>
      </c>
      <c r="AG91" s="763">
        <v>0</v>
      </c>
      <c r="AH91" s="763">
        <v>0</v>
      </c>
      <c r="AI91" s="326">
        <v>0</v>
      </c>
      <c r="AJ91" s="326">
        <v>0</v>
      </c>
      <c r="AK91" s="626">
        <f>SUM(AE91:AJ91)</f>
        <v>0.5</v>
      </c>
      <c r="AL91" s="696">
        <f>I91+AD91</f>
        <v>267475</v>
      </c>
      <c r="AM91" s="492">
        <f>J91+U91</f>
        <v>198424</v>
      </c>
      <c r="AN91" s="492">
        <f>Y91</f>
        <v>0</v>
      </c>
      <c r="AO91" s="492">
        <f t="shared" si="159"/>
        <v>67067</v>
      </c>
      <c r="AP91" s="492">
        <f t="shared" si="159"/>
        <v>1984</v>
      </c>
      <c r="AQ91" s="492">
        <f t="shared" si="159"/>
        <v>0</v>
      </c>
      <c r="AR91" s="626">
        <f>N91+AK91</f>
        <v>0.5</v>
      </c>
    </row>
    <row r="92" spans="1:44" ht="12.95" customHeight="1" x14ac:dyDescent="0.25">
      <c r="A92" s="144">
        <v>22</v>
      </c>
      <c r="B92" s="41">
        <v>5484</v>
      </c>
      <c r="C92" s="41">
        <v>600098532</v>
      </c>
      <c r="D92" s="41">
        <v>72743255</v>
      </c>
      <c r="E92" s="297" t="s">
        <v>478</v>
      </c>
      <c r="F92" s="41"/>
      <c r="G92" s="297"/>
      <c r="H92" s="128"/>
      <c r="I92" s="667">
        <f t="shared" ref="I92:AR92" si="160">SUM(I90:I91)</f>
        <v>5295882</v>
      </c>
      <c r="J92" s="572">
        <f t="shared" si="160"/>
        <v>3928696</v>
      </c>
      <c r="K92" s="351">
        <f t="shared" si="160"/>
        <v>1327899</v>
      </c>
      <c r="L92" s="351">
        <f t="shared" si="160"/>
        <v>39287</v>
      </c>
      <c r="M92" s="572">
        <f t="shared" si="160"/>
        <v>0</v>
      </c>
      <c r="N92" s="767">
        <f t="shared" si="160"/>
        <v>7</v>
      </c>
      <c r="O92" s="672">
        <f t="shared" si="160"/>
        <v>-24000</v>
      </c>
      <c r="P92" s="466">
        <f t="shared" si="160"/>
        <v>198424</v>
      </c>
      <c r="Q92" s="351">
        <f t="shared" si="160"/>
        <v>0</v>
      </c>
      <c r="R92" s="351">
        <f t="shared" si="160"/>
        <v>0</v>
      </c>
      <c r="S92" s="351">
        <f t="shared" si="160"/>
        <v>0</v>
      </c>
      <c r="T92" s="351">
        <f t="shared" si="160"/>
        <v>0</v>
      </c>
      <c r="U92" s="351">
        <f t="shared" si="160"/>
        <v>174424</v>
      </c>
      <c r="V92" s="351">
        <f t="shared" si="160"/>
        <v>24000</v>
      </c>
      <c r="W92" s="351">
        <f t="shared" si="160"/>
        <v>0</v>
      </c>
      <c r="X92" s="351">
        <f t="shared" si="160"/>
        <v>0</v>
      </c>
      <c r="Y92" s="351">
        <f t="shared" si="160"/>
        <v>24000</v>
      </c>
      <c r="Z92" s="351">
        <f t="shared" si="160"/>
        <v>198424</v>
      </c>
      <c r="AA92" s="351">
        <f t="shared" si="160"/>
        <v>67067</v>
      </c>
      <c r="AB92" s="351">
        <f t="shared" si="160"/>
        <v>1744</v>
      </c>
      <c r="AC92" s="351">
        <f t="shared" si="160"/>
        <v>0</v>
      </c>
      <c r="AD92" s="845">
        <f t="shared" si="160"/>
        <v>267235</v>
      </c>
      <c r="AE92" s="853">
        <f t="shared" si="160"/>
        <v>0</v>
      </c>
      <c r="AF92" s="768">
        <f t="shared" si="160"/>
        <v>0.5</v>
      </c>
      <c r="AG92" s="768">
        <f t="shared" si="160"/>
        <v>0</v>
      </c>
      <c r="AH92" s="768">
        <f t="shared" si="160"/>
        <v>0</v>
      </c>
      <c r="AI92" s="352">
        <f t="shared" si="160"/>
        <v>0</v>
      </c>
      <c r="AJ92" s="352">
        <f t="shared" si="160"/>
        <v>0</v>
      </c>
      <c r="AK92" s="204">
        <f t="shared" si="160"/>
        <v>0.5</v>
      </c>
      <c r="AL92" s="672">
        <f t="shared" si="160"/>
        <v>5563117</v>
      </c>
      <c r="AM92" s="466">
        <f t="shared" si="160"/>
        <v>4103120</v>
      </c>
      <c r="AN92" s="351">
        <f t="shared" si="160"/>
        <v>24000</v>
      </c>
      <c r="AO92" s="351">
        <f t="shared" si="160"/>
        <v>1394966</v>
      </c>
      <c r="AP92" s="351">
        <f t="shared" si="160"/>
        <v>41031</v>
      </c>
      <c r="AQ92" s="351">
        <f t="shared" si="160"/>
        <v>0</v>
      </c>
      <c r="AR92" s="204">
        <f t="shared" si="160"/>
        <v>7.5</v>
      </c>
    </row>
    <row r="93" spans="1:44" ht="12.95" customHeight="1" x14ac:dyDescent="0.25">
      <c r="A93" s="205">
        <v>23</v>
      </c>
      <c r="B93" s="143">
        <v>5485</v>
      </c>
      <c r="C93" s="143">
        <v>600099300</v>
      </c>
      <c r="D93" s="206">
        <v>72743174</v>
      </c>
      <c r="E93" s="295" t="s">
        <v>479</v>
      </c>
      <c r="F93" s="143">
        <v>3117</v>
      </c>
      <c r="G93" s="295" t="s">
        <v>294</v>
      </c>
      <c r="H93" s="210" t="s">
        <v>262</v>
      </c>
      <c r="I93" s="586">
        <f t="shared" si="129"/>
        <v>5458049</v>
      </c>
      <c r="J93" s="490">
        <v>4048998</v>
      </c>
      <c r="K93" s="55">
        <f t="shared" si="130"/>
        <v>1368561</v>
      </c>
      <c r="L93" s="55">
        <f t="shared" si="131"/>
        <v>40490</v>
      </c>
      <c r="M93" s="490">
        <v>0</v>
      </c>
      <c r="N93" s="752">
        <v>6.1361999999999997</v>
      </c>
      <c r="O93" s="555">
        <f>V93*-1</f>
        <v>0</v>
      </c>
      <c r="P93" s="578">
        <v>0</v>
      </c>
      <c r="Q93" s="325">
        <v>0</v>
      </c>
      <c r="R93" s="325">
        <v>0</v>
      </c>
      <c r="S93" s="325">
        <v>0</v>
      </c>
      <c r="T93" s="325">
        <v>0</v>
      </c>
      <c r="U93" s="492">
        <f>O93+P93+Q93+R93+S93+T93</f>
        <v>0</v>
      </c>
      <c r="V93" s="325">
        <v>0</v>
      </c>
      <c r="W93" s="325">
        <v>0</v>
      </c>
      <c r="X93" s="325">
        <v>0</v>
      </c>
      <c r="Y93" s="492">
        <f t="shared" ref="Y93:Y95" si="161">V93+W93+X93</f>
        <v>0</v>
      </c>
      <c r="Z93" s="492">
        <f t="shared" ref="Z93:Z95" si="162">U93+Y93</f>
        <v>0</v>
      </c>
      <c r="AA93" s="494">
        <f t="shared" ref="AA93:AA95" si="163">ROUND((U93+Y93)*33.8%,0)</f>
        <v>0</v>
      </c>
      <c r="AB93" s="494">
        <f t="shared" ref="AB93:AB95" si="164">ROUND(U93*1%,0)</f>
        <v>0</v>
      </c>
      <c r="AC93" s="492">
        <v>0</v>
      </c>
      <c r="AD93" s="789">
        <f t="shared" ref="AD93:AD95" si="165">Z93+AA93+AB93+AC93</f>
        <v>0</v>
      </c>
      <c r="AE93" s="851">
        <v>0</v>
      </c>
      <c r="AF93" s="764">
        <v>0</v>
      </c>
      <c r="AG93" s="763">
        <v>0</v>
      </c>
      <c r="AH93" s="763">
        <v>0</v>
      </c>
      <c r="AI93" s="326">
        <v>0</v>
      </c>
      <c r="AJ93" s="326">
        <v>0</v>
      </c>
      <c r="AK93" s="626">
        <f>SUM(AE93:AJ93)</f>
        <v>0</v>
      </c>
      <c r="AL93" s="696">
        <f>I93+AD93</f>
        <v>5458049</v>
      </c>
      <c r="AM93" s="492">
        <f>J93+U93</f>
        <v>4048998</v>
      </c>
      <c r="AN93" s="492">
        <f>Y93</f>
        <v>0</v>
      </c>
      <c r="AO93" s="492">
        <f t="shared" ref="AO93:AQ95" si="166">K93+AA93</f>
        <v>1368561</v>
      </c>
      <c r="AP93" s="492">
        <f t="shared" si="166"/>
        <v>40490</v>
      </c>
      <c r="AQ93" s="492">
        <f t="shared" si="166"/>
        <v>0</v>
      </c>
      <c r="AR93" s="626">
        <f>N93+AK93</f>
        <v>6.1361999999999997</v>
      </c>
    </row>
    <row r="94" spans="1:44" ht="12.95" customHeight="1" x14ac:dyDescent="0.25">
      <c r="A94" s="205">
        <v>23</v>
      </c>
      <c r="B94" s="143">
        <v>5485</v>
      </c>
      <c r="C94" s="143">
        <v>600099300</v>
      </c>
      <c r="D94" s="206">
        <v>72743174</v>
      </c>
      <c r="E94" s="294" t="s">
        <v>479</v>
      </c>
      <c r="F94" s="143">
        <v>3117</v>
      </c>
      <c r="G94" s="248" t="s">
        <v>278</v>
      </c>
      <c r="H94" s="210" t="s">
        <v>263</v>
      </c>
      <c r="I94" s="586">
        <f t="shared" si="129"/>
        <v>0</v>
      </c>
      <c r="J94" s="490">
        <v>0</v>
      </c>
      <c r="K94" s="55">
        <f t="shared" si="130"/>
        <v>0</v>
      </c>
      <c r="L94" s="55">
        <f t="shared" si="131"/>
        <v>0</v>
      </c>
      <c r="M94" s="490">
        <v>0</v>
      </c>
      <c r="N94" s="752">
        <v>0</v>
      </c>
      <c r="O94" s="327">
        <f>V94*-1</f>
        <v>0</v>
      </c>
      <c r="P94" s="578">
        <f>773488</f>
        <v>773488</v>
      </c>
      <c r="Q94" s="325">
        <v>0</v>
      </c>
      <c r="R94" s="325">
        <v>0</v>
      </c>
      <c r="S94" s="325">
        <v>0</v>
      </c>
      <c r="T94" s="325">
        <v>0</v>
      </c>
      <c r="U94" s="492">
        <f>O94+P94+Q94+R94+S94+T94</f>
        <v>773488</v>
      </c>
      <c r="V94" s="325">
        <v>0</v>
      </c>
      <c r="W94" s="325">
        <v>0</v>
      </c>
      <c r="X94" s="325">
        <v>0</v>
      </c>
      <c r="Y94" s="492">
        <f t="shared" si="161"/>
        <v>0</v>
      </c>
      <c r="Z94" s="492">
        <f t="shared" si="162"/>
        <v>773488</v>
      </c>
      <c r="AA94" s="494">
        <f t="shared" si="163"/>
        <v>261439</v>
      </c>
      <c r="AB94" s="494">
        <f t="shared" si="164"/>
        <v>7735</v>
      </c>
      <c r="AC94" s="492">
        <v>0</v>
      </c>
      <c r="AD94" s="789">
        <f t="shared" si="165"/>
        <v>1042662</v>
      </c>
      <c r="AE94" s="851">
        <v>0</v>
      </c>
      <c r="AF94" s="764">
        <f>2.02+0.04</f>
        <v>2.06</v>
      </c>
      <c r="AG94" s="763">
        <v>0</v>
      </c>
      <c r="AH94" s="763">
        <v>0</v>
      </c>
      <c r="AI94" s="326">
        <v>0</v>
      </c>
      <c r="AJ94" s="326">
        <v>0</v>
      </c>
      <c r="AK94" s="626">
        <f>SUM(AE94:AJ94)</f>
        <v>2.06</v>
      </c>
      <c r="AL94" s="696">
        <f>I94+AD94</f>
        <v>1042662</v>
      </c>
      <c r="AM94" s="492">
        <f>J94+U94</f>
        <v>773488</v>
      </c>
      <c r="AN94" s="492">
        <f>Y94</f>
        <v>0</v>
      </c>
      <c r="AO94" s="492">
        <f t="shared" si="166"/>
        <v>261439</v>
      </c>
      <c r="AP94" s="492">
        <f t="shared" si="166"/>
        <v>7735</v>
      </c>
      <c r="AQ94" s="492">
        <f t="shared" si="166"/>
        <v>0</v>
      </c>
      <c r="AR94" s="626">
        <f>N94+AK94</f>
        <v>2.06</v>
      </c>
    </row>
    <row r="95" spans="1:44" ht="12.95" customHeight="1" x14ac:dyDescent="0.25">
      <c r="A95" s="205">
        <v>23</v>
      </c>
      <c r="B95" s="143">
        <v>5485</v>
      </c>
      <c r="C95" s="143">
        <v>600099300</v>
      </c>
      <c r="D95" s="206">
        <v>72743174</v>
      </c>
      <c r="E95" s="294" t="s">
        <v>479</v>
      </c>
      <c r="F95" s="305">
        <v>3143</v>
      </c>
      <c r="G95" s="248" t="s">
        <v>794</v>
      </c>
      <c r="H95" s="210" t="s">
        <v>262</v>
      </c>
      <c r="I95" s="586">
        <f t="shared" si="129"/>
        <v>980944</v>
      </c>
      <c r="J95" s="490">
        <v>727703</v>
      </c>
      <c r="K95" s="55">
        <f t="shared" si="130"/>
        <v>245964</v>
      </c>
      <c r="L95" s="55">
        <f t="shared" si="131"/>
        <v>7277</v>
      </c>
      <c r="M95" s="490">
        <v>0</v>
      </c>
      <c r="N95" s="752">
        <v>1.35</v>
      </c>
      <c r="O95" s="327">
        <f>V95*-1</f>
        <v>-18000</v>
      </c>
      <c r="P95" s="578">
        <v>0</v>
      </c>
      <c r="Q95" s="325">
        <v>0</v>
      </c>
      <c r="R95" s="325">
        <v>0</v>
      </c>
      <c r="S95" s="325">
        <v>0</v>
      </c>
      <c r="T95" s="325">
        <v>0</v>
      </c>
      <c r="U95" s="492">
        <f>O95+P95+Q95+R95+S95+T95</f>
        <v>-18000</v>
      </c>
      <c r="V95" s="325">
        <v>18000</v>
      </c>
      <c r="W95" s="325">
        <v>0</v>
      </c>
      <c r="X95" s="325">
        <v>0</v>
      </c>
      <c r="Y95" s="492">
        <f t="shared" si="161"/>
        <v>18000</v>
      </c>
      <c r="Z95" s="492">
        <f t="shared" si="162"/>
        <v>0</v>
      </c>
      <c r="AA95" s="494">
        <f t="shared" si="163"/>
        <v>0</v>
      </c>
      <c r="AB95" s="494">
        <f t="shared" si="164"/>
        <v>-180</v>
      </c>
      <c r="AC95" s="492">
        <v>0</v>
      </c>
      <c r="AD95" s="789">
        <f t="shared" si="165"/>
        <v>-180</v>
      </c>
      <c r="AE95" s="851">
        <v>0</v>
      </c>
      <c r="AF95" s="764">
        <v>0</v>
      </c>
      <c r="AG95" s="763">
        <v>0</v>
      </c>
      <c r="AH95" s="763">
        <v>0</v>
      </c>
      <c r="AI95" s="326">
        <v>0</v>
      </c>
      <c r="AJ95" s="326">
        <v>0</v>
      </c>
      <c r="AK95" s="626">
        <f>SUM(AE95:AJ95)</f>
        <v>0</v>
      </c>
      <c r="AL95" s="696">
        <f>I95+AD95</f>
        <v>980764</v>
      </c>
      <c r="AM95" s="492">
        <f>J95+U95</f>
        <v>709703</v>
      </c>
      <c r="AN95" s="492">
        <f>Y95</f>
        <v>18000</v>
      </c>
      <c r="AO95" s="492">
        <f t="shared" si="166"/>
        <v>245964</v>
      </c>
      <c r="AP95" s="492">
        <f t="shared" si="166"/>
        <v>7097</v>
      </c>
      <c r="AQ95" s="492">
        <f t="shared" si="166"/>
        <v>0</v>
      </c>
      <c r="AR95" s="626">
        <f>N95+AK95</f>
        <v>1.35</v>
      </c>
    </row>
    <row r="96" spans="1:44" ht="12.95" customHeight="1" x14ac:dyDescent="0.25">
      <c r="A96" s="144">
        <v>23</v>
      </c>
      <c r="B96" s="42">
        <v>5485</v>
      </c>
      <c r="C96" s="42">
        <v>600099300</v>
      </c>
      <c r="D96" s="42">
        <v>72743174</v>
      </c>
      <c r="E96" s="306" t="s">
        <v>480</v>
      </c>
      <c r="F96" s="311"/>
      <c r="G96" s="310"/>
      <c r="H96" s="131"/>
      <c r="I96" s="667">
        <f t="shared" ref="I96:AR96" si="167">SUM(I93:I95)</f>
        <v>6438993</v>
      </c>
      <c r="J96" s="572">
        <f t="shared" si="167"/>
        <v>4776701</v>
      </c>
      <c r="K96" s="351">
        <f t="shared" si="167"/>
        <v>1614525</v>
      </c>
      <c r="L96" s="351">
        <f t="shared" si="167"/>
        <v>47767</v>
      </c>
      <c r="M96" s="572">
        <f t="shared" si="167"/>
        <v>0</v>
      </c>
      <c r="N96" s="767">
        <f t="shared" si="167"/>
        <v>7.4862000000000002</v>
      </c>
      <c r="O96" s="672">
        <f t="shared" si="167"/>
        <v>-18000</v>
      </c>
      <c r="P96" s="466">
        <f t="shared" si="167"/>
        <v>773488</v>
      </c>
      <c r="Q96" s="351">
        <f t="shared" si="167"/>
        <v>0</v>
      </c>
      <c r="R96" s="351">
        <f t="shared" si="167"/>
        <v>0</v>
      </c>
      <c r="S96" s="351">
        <f t="shared" si="167"/>
        <v>0</v>
      </c>
      <c r="T96" s="351">
        <f t="shared" si="167"/>
        <v>0</v>
      </c>
      <c r="U96" s="351">
        <f t="shared" si="167"/>
        <v>755488</v>
      </c>
      <c r="V96" s="351">
        <f t="shared" si="167"/>
        <v>18000</v>
      </c>
      <c r="W96" s="351">
        <f t="shared" si="167"/>
        <v>0</v>
      </c>
      <c r="X96" s="351">
        <f t="shared" si="167"/>
        <v>0</v>
      </c>
      <c r="Y96" s="351">
        <f t="shared" si="167"/>
        <v>18000</v>
      </c>
      <c r="Z96" s="351">
        <f t="shared" si="167"/>
        <v>773488</v>
      </c>
      <c r="AA96" s="351">
        <f t="shared" si="167"/>
        <v>261439</v>
      </c>
      <c r="AB96" s="351">
        <f t="shared" si="167"/>
        <v>7555</v>
      </c>
      <c r="AC96" s="351">
        <f t="shared" si="167"/>
        <v>0</v>
      </c>
      <c r="AD96" s="845">
        <f t="shared" si="167"/>
        <v>1042482</v>
      </c>
      <c r="AE96" s="853">
        <f t="shared" si="167"/>
        <v>0</v>
      </c>
      <c r="AF96" s="768">
        <f t="shared" si="167"/>
        <v>2.06</v>
      </c>
      <c r="AG96" s="768">
        <f t="shared" si="167"/>
        <v>0</v>
      </c>
      <c r="AH96" s="768">
        <f t="shared" si="167"/>
        <v>0</v>
      </c>
      <c r="AI96" s="352">
        <f t="shared" si="167"/>
        <v>0</v>
      </c>
      <c r="AJ96" s="352">
        <f t="shared" si="167"/>
        <v>0</v>
      </c>
      <c r="AK96" s="204">
        <f t="shared" si="167"/>
        <v>2.06</v>
      </c>
      <c r="AL96" s="672">
        <f t="shared" si="167"/>
        <v>7481475</v>
      </c>
      <c r="AM96" s="466">
        <f t="shared" si="167"/>
        <v>5532189</v>
      </c>
      <c r="AN96" s="351">
        <f t="shared" si="167"/>
        <v>18000</v>
      </c>
      <c r="AO96" s="351">
        <f t="shared" si="167"/>
        <v>1875964</v>
      </c>
      <c r="AP96" s="351">
        <f t="shared" si="167"/>
        <v>55322</v>
      </c>
      <c r="AQ96" s="351">
        <f t="shared" si="167"/>
        <v>0</v>
      </c>
      <c r="AR96" s="204">
        <f t="shared" si="167"/>
        <v>9.5461999999999989</v>
      </c>
    </row>
    <row r="97" spans="1:44" ht="12.95" customHeight="1" x14ac:dyDescent="0.25">
      <c r="A97" s="205">
        <v>24</v>
      </c>
      <c r="B97" s="143">
        <v>5434</v>
      </c>
      <c r="C97" s="143">
        <v>600098923</v>
      </c>
      <c r="D97" s="206">
        <v>70695318</v>
      </c>
      <c r="E97" s="295" t="s">
        <v>481</v>
      </c>
      <c r="F97" s="143">
        <v>3111</v>
      </c>
      <c r="G97" s="296" t="s">
        <v>290</v>
      </c>
      <c r="H97" s="210" t="s">
        <v>262</v>
      </c>
      <c r="I97" s="586">
        <f t="shared" si="129"/>
        <v>3309710</v>
      </c>
      <c r="J97" s="490">
        <v>2455274</v>
      </c>
      <c r="K97" s="55">
        <f t="shared" si="130"/>
        <v>829883</v>
      </c>
      <c r="L97" s="55">
        <f t="shared" si="131"/>
        <v>24553</v>
      </c>
      <c r="M97" s="490">
        <v>0</v>
      </c>
      <c r="N97" s="752">
        <v>4</v>
      </c>
      <c r="O97" s="555">
        <f>V97*-1</f>
        <v>0</v>
      </c>
      <c r="P97" s="578">
        <v>0</v>
      </c>
      <c r="Q97" s="325">
        <v>0</v>
      </c>
      <c r="R97" s="325">
        <v>0</v>
      </c>
      <c r="S97" s="325">
        <v>0</v>
      </c>
      <c r="T97" s="325">
        <v>0</v>
      </c>
      <c r="U97" s="492">
        <f>O97+P97+Q97+R97+S97+T97</f>
        <v>0</v>
      </c>
      <c r="V97" s="325">
        <v>0</v>
      </c>
      <c r="W97" s="325">
        <v>0</v>
      </c>
      <c r="X97" s="325">
        <v>0</v>
      </c>
      <c r="Y97" s="492">
        <f t="shared" ref="Y97:Y98" si="168">V97+W97+X97</f>
        <v>0</v>
      </c>
      <c r="Z97" s="492">
        <f t="shared" ref="Z97:Z98" si="169">U97+Y97</f>
        <v>0</v>
      </c>
      <c r="AA97" s="494">
        <f t="shared" ref="AA97:AA98" si="170">ROUND((U97+Y97)*33.8%,0)</f>
        <v>0</v>
      </c>
      <c r="AB97" s="494">
        <f t="shared" ref="AB97:AB98" si="171">ROUND(U97*1%,0)</f>
        <v>0</v>
      </c>
      <c r="AC97" s="492">
        <v>0</v>
      </c>
      <c r="AD97" s="789">
        <f t="shared" ref="AD97:AD98" si="172">Z97+AA97+AB97+AC97</f>
        <v>0</v>
      </c>
      <c r="AE97" s="851">
        <v>0</v>
      </c>
      <c r="AF97" s="764">
        <v>0</v>
      </c>
      <c r="AG97" s="763">
        <v>0</v>
      </c>
      <c r="AH97" s="763">
        <v>0</v>
      </c>
      <c r="AI97" s="326">
        <v>0</v>
      </c>
      <c r="AJ97" s="326">
        <v>0</v>
      </c>
      <c r="AK97" s="626">
        <f>SUM(AE97:AJ97)</f>
        <v>0</v>
      </c>
      <c r="AL97" s="696">
        <f>I97+AD97</f>
        <v>3309710</v>
      </c>
      <c r="AM97" s="492">
        <f>J97+U97</f>
        <v>2455274</v>
      </c>
      <c r="AN97" s="492">
        <f>Y97</f>
        <v>0</v>
      </c>
      <c r="AO97" s="492">
        <f t="shared" ref="AO97:AQ98" si="173">K97+AA97</f>
        <v>829883</v>
      </c>
      <c r="AP97" s="492">
        <f t="shared" si="173"/>
        <v>24553</v>
      </c>
      <c r="AQ97" s="492">
        <f t="shared" si="173"/>
        <v>0</v>
      </c>
      <c r="AR97" s="626">
        <f>N97+AK97</f>
        <v>4</v>
      </c>
    </row>
    <row r="98" spans="1:44" ht="12.95" customHeight="1" x14ac:dyDescent="0.25">
      <c r="A98" s="205">
        <v>24</v>
      </c>
      <c r="B98" s="143">
        <v>5434</v>
      </c>
      <c r="C98" s="143">
        <v>600098923</v>
      </c>
      <c r="D98" s="206">
        <v>70695318</v>
      </c>
      <c r="E98" s="294" t="s">
        <v>481</v>
      </c>
      <c r="F98" s="143">
        <v>3111</v>
      </c>
      <c r="G98" s="248" t="s">
        <v>278</v>
      </c>
      <c r="H98" s="210" t="s">
        <v>263</v>
      </c>
      <c r="I98" s="586">
        <f t="shared" si="129"/>
        <v>0</v>
      </c>
      <c r="J98" s="490">
        <v>0</v>
      </c>
      <c r="K98" s="55">
        <f t="shared" si="130"/>
        <v>0</v>
      </c>
      <c r="L98" s="55">
        <f t="shared" si="131"/>
        <v>0</v>
      </c>
      <c r="M98" s="490">
        <v>0</v>
      </c>
      <c r="N98" s="752">
        <v>0</v>
      </c>
      <c r="O98" s="327">
        <f>V98*-1</f>
        <v>0</v>
      </c>
      <c r="P98" s="578">
        <v>396847</v>
      </c>
      <c r="Q98" s="325">
        <v>0</v>
      </c>
      <c r="R98" s="325">
        <v>0</v>
      </c>
      <c r="S98" s="325">
        <v>0</v>
      </c>
      <c r="T98" s="325">
        <v>0</v>
      </c>
      <c r="U98" s="492">
        <f>O98+P98+Q98+R98+S98+T98</f>
        <v>396847</v>
      </c>
      <c r="V98" s="325">
        <v>0</v>
      </c>
      <c r="W98" s="325">
        <v>0</v>
      </c>
      <c r="X98" s="325">
        <v>0</v>
      </c>
      <c r="Y98" s="492">
        <f t="shared" si="168"/>
        <v>0</v>
      </c>
      <c r="Z98" s="492">
        <f t="shared" si="169"/>
        <v>396847</v>
      </c>
      <c r="AA98" s="494">
        <f t="shared" si="170"/>
        <v>134134</v>
      </c>
      <c r="AB98" s="494">
        <f t="shared" si="171"/>
        <v>3968</v>
      </c>
      <c r="AC98" s="492">
        <v>0</v>
      </c>
      <c r="AD98" s="789">
        <f t="shared" si="172"/>
        <v>534949</v>
      </c>
      <c r="AE98" s="851">
        <v>0</v>
      </c>
      <c r="AF98" s="764">
        <v>1</v>
      </c>
      <c r="AG98" s="763">
        <v>0</v>
      </c>
      <c r="AH98" s="763">
        <v>0</v>
      </c>
      <c r="AI98" s="326">
        <v>0</v>
      </c>
      <c r="AJ98" s="326">
        <v>0</v>
      </c>
      <c r="AK98" s="626">
        <f>SUM(AE98:AJ98)</f>
        <v>1</v>
      </c>
      <c r="AL98" s="696">
        <f>I98+AD98</f>
        <v>534949</v>
      </c>
      <c r="AM98" s="492">
        <f>J98+U98</f>
        <v>396847</v>
      </c>
      <c r="AN98" s="492">
        <f>Y98</f>
        <v>0</v>
      </c>
      <c r="AO98" s="492">
        <f t="shared" si="173"/>
        <v>134134</v>
      </c>
      <c r="AP98" s="492">
        <f t="shared" si="173"/>
        <v>3968</v>
      </c>
      <c r="AQ98" s="492">
        <f t="shared" si="173"/>
        <v>0</v>
      </c>
      <c r="AR98" s="626">
        <f>N98+AK98</f>
        <v>1</v>
      </c>
    </row>
    <row r="99" spans="1:44" ht="12.75" customHeight="1" x14ac:dyDescent="0.25">
      <c r="A99" s="144">
        <v>24</v>
      </c>
      <c r="B99" s="42">
        <v>5434</v>
      </c>
      <c r="C99" s="42">
        <v>600098923</v>
      </c>
      <c r="D99" s="42">
        <v>70695318</v>
      </c>
      <c r="E99" s="306" t="s">
        <v>482</v>
      </c>
      <c r="F99" s="307"/>
      <c r="G99" s="306"/>
      <c r="H99" s="308"/>
      <c r="I99" s="667">
        <f t="shared" ref="I99:AR99" si="174">SUM(I97:I98)</f>
        <v>3309710</v>
      </c>
      <c r="J99" s="572">
        <f t="shared" si="174"/>
        <v>2455274</v>
      </c>
      <c r="K99" s="351">
        <f t="shared" si="174"/>
        <v>829883</v>
      </c>
      <c r="L99" s="351">
        <f t="shared" si="174"/>
        <v>24553</v>
      </c>
      <c r="M99" s="572">
        <f t="shared" si="174"/>
        <v>0</v>
      </c>
      <c r="N99" s="767">
        <f t="shared" si="174"/>
        <v>4</v>
      </c>
      <c r="O99" s="672">
        <f t="shared" si="174"/>
        <v>0</v>
      </c>
      <c r="P99" s="466">
        <f t="shared" si="174"/>
        <v>396847</v>
      </c>
      <c r="Q99" s="351">
        <f t="shared" si="174"/>
        <v>0</v>
      </c>
      <c r="R99" s="351">
        <f t="shared" si="174"/>
        <v>0</v>
      </c>
      <c r="S99" s="351">
        <f t="shared" si="174"/>
        <v>0</v>
      </c>
      <c r="T99" s="351">
        <f t="shared" si="174"/>
        <v>0</v>
      </c>
      <c r="U99" s="351">
        <f t="shared" si="174"/>
        <v>396847</v>
      </c>
      <c r="V99" s="351">
        <f t="shared" si="174"/>
        <v>0</v>
      </c>
      <c r="W99" s="351">
        <f t="shared" si="174"/>
        <v>0</v>
      </c>
      <c r="X99" s="351">
        <f t="shared" si="174"/>
        <v>0</v>
      </c>
      <c r="Y99" s="351">
        <f t="shared" si="174"/>
        <v>0</v>
      </c>
      <c r="Z99" s="351">
        <f t="shared" si="174"/>
        <v>396847</v>
      </c>
      <c r="AA99" s="351">
        <f t="shared" si="174"/>
        <v>134134</v>
      </c>
      <c r="AB99" s="351">
        <f t="shared" si="174"/>
        <v>3968</v>
      </c>
      <c r="AC99" s="351">
        <f t="shared" si="174"/>
        <v>0</v>
      </c>
      <c r="AD99" s="845">
        <f t="shared" si="174"/>
        <v>534949</v>
      </c>
      <c r="AE99" s="853">
        <f t="shared" si="174"/>
        <v>0</v>
      </c>
      <c r="AF99" s="768">
        <f t="shared" si="174"/>
        <v>1</v>
      </c>
      <c r="AG99" s="768">
        <f t="shared" si="174"/>
        <v>0</v>
      </c>
      <c r="AH99" s="768">
        <f t="shared" si="174"/>
        <v>0</v>
      </c>
      <c r="AI99" s="352">
        <f t="shared" si="174"/>
        <v>0</v>
      </c>
      <c r="AJ99" s="352">
        <f t="shared" si="174"/>
        <v>0</v>
      </c>
      <c r="AK99" s="204">
        <f t="shared" si="174"/>
        <v>1</v>
      </c>
      <c r="AL99" s="672">
        <f t="shared" si="174"/>
        <v>3844659</v>
      </c>
      <c r="AM99" s="466">
        <f t="shared" si="174"/>
        <v>2852121</v>
      </c>
      <c r="AN99" s="351">
        <f t="shared" si="174"/>
        <v>0</v>
      </c>
      <c r="AO99" s="351">
        <f t="shared" si="174"/>
        <v>964017</v>
      </c>
      <c r="AP99" s="351">
        <f t="shared" si="174"/>
        <v>28521</v>
      </c>
      <c r="AQ99" s="351">
        <f t="shared" si="174"/>
        <v>0</v>
      </c>
      <c r="AR99" s="204">
        <f t="shared" si="174"/>
        <v>5</v>
      </c>
    </row>
    <row r="100" spans="1:44" ht="12.95" customHeight="1" x14ac:dyDescent="0.25">
      <c r="A100" s="205">
        <v>25</v>
      </c>
      <c r="B100" s="143">
        <v>5433</v>
      </c>
      <c r="C100" s="143">
        <v>600099253</v>
      </c>
      <c r="D100" s="206">
        <v>70695300</v>
      </c>
      <c r="E100" s="142" t="s">
        <v>483</v>
      </c>
      <c r="F100" s="143">
        <v>3117</v>
      </c>
      <c r="G100" s="295" t="s">
        <v>294</v>
      </c>
      <c r="H100" s="210" t="s">
        <v>262</v>
      </c>
      <c r="I100" s="586">
        <f t="shared" si="129"/>
        <v>3252331</v>
      </c>
      <c r="J100" s="490">
        <v>2412709</v>
      </c>
      <c r="K100" s="55">
        <f>ROUND(J100*33.8%,0)-1</f>
        <v>815495</v>
      </c>
      <c r="L100" s="55">
        <f t="shared" si="131"/>
        <v>24127</v>
      </c>
      <c r="M100" s="490">
        <v>0</v>
      </c>
      <c r="N100" s="752">
        <v>3.5909</v>
      </c>
      <c r="O100" s="555">
        <f>V100*-1</f>
        <v>0</v>
      </c>
      <c r="P100" s="578">
        <v>0</v>
      </c>
      <c r="Q100" s="325">
        <v>0</v>
      </c>
      <c r="R100" s="325">
        <v>0</v>
      </c>
      <c r="S100" s="325">
        <v>0</v>
      </c>
      <c r="T100" s="325">
        <v>0</v>
      </c>
      <c r="U100" s="492">
        <f>O100+P100+Q100+R100+S100+T100</f>
        <v>0</v>
      </c>
      <c r="V100" s="325">
        <v>0</v>
      </c>
      <c r="W100" s="325">
        <v>0</v>
      </c>
      <c r="X100" s="325">
        <v>0</v>
      </c>
      <c r="Y100" s="492">
        <f t="shared" ref="Y100:Y102" si="175">V100+W100+X100</f>
        <v>0</v>
      </c>
      <c r="Z100" s="492">
        <f t="shared" ref="Z100:Z102" si="176">U100+Y100</f>
        <v>0</v>
      </c>
      <c r="AA100" s="494">
        <f t="shared" ref="AA100:AA102" si="177">ROUND((U100+Y100)*33.8%,0)</f>
        <v>0</v>
      </c>
      <c r="AB100" s="494">
        <f t="shared" ref="AB100:AB102" si="178">ROUND(U100*1%,0)</f>
        <v>0</v>
      </c>
      <c r="AC100" s="492">
        <v>0</v>
      </c>
      <c r="AD100" s="789">
        <f t="shared" ref="AD100:AD102" si="179">Z100+AA100+AB100+AC100</f>
        <v>0</v>
      </c>
      <c r="AE100" s="851">
        <v>0</v>
      </c>
      <c r="AF100" s="764">
        <v>0</v>
      </c>
      <c r="AG100" s="763">
        <v>0</v>
      </c>
      <c r="AH100" s="763">
        <v>0</v>
      </c>
      <c r="AI100" s="326">
        <v>0</v>
      </c>
      <c r="AJ100" s="326">
        <v>0</v>
      </c>
      <c r="AK100" s="626">
        <f>SUM(AE100:AJ100)</f>
        <v>0</v>
      </c>
      <c r="AL100" s="696">
        <f>I100+AD100</f>
        <v>3252331</v>
      </c>
      <c r="AM100" s="492">
        <f>J100+U100</f>
        <v>2412709</v>
      </c>
      <c r="AN100" s="492">
        <f>Y100</f>
        <v>0</v>
      </c>
      <c r="AO100" s="492">
        <f t="shared" ref="AO100:AQ102" si="180">K100+AA100</f>
        <v>815495</v>
      </c>
      <c r="AP100" s="492">
        <f t="shared" si="180"/>
        <v>24127</v>
      </c>
      <c r="AQ100" s="492">
        <f t="shared" si="180"/>
        <v>0</v>
      </c>
      <c r="AR100" s="626">
        <f>N100+AK100</f>
        <v>3.5909</v>
      </c>
    </row>
    <row r="101" spans="1:44" ht="12.95" customHeight="1" x14ac:dyDescent="0.25">
      <c r="A101" s="205">
        <v>25</v>
      </c>
      <c r="B101" s="143">
        <v>5433</v>
      </c>
      <c r="C101" s="143">
        <v>600099253</v>
      </c>
      <c r="D101" s="206">
        <v>70695300</v>
      </c>
      <c r="E101" s="294" t="s">
        <v>483</v>
      </c>
      <c r="F101" s="143">
        <v>3117</v>
      </c>
      <c r="G101" s="248" t="s">
        <v>278</v>
      </c>
      <c r="H101" s="210" t="s">
        <v>263</v>
      </c>
      <c r="I101" s="586">
        <f t="shared" si="129"/>
        <v>0</v>
      </c>
      <c r="J101" s="490">
        <v>0</v>
      </c>
      <c r="K101" s="55">
        <f t="shared" si="130"/>
        <v>0</v>
      </c>
      <c r="L101" s="55">
        <f t="shared" si="131"/>
        <v>0</v>
      </c>
      <c r="M101" s="490">
        <v>0</v>
      </c>
      <c r="N101" s="752">
        <v>0</v>
      </c>
      <c r="O101" s="327">
        <f>V101*-1</f>
        <v>0</v>
      </c>
      <c r="P101" s="578">
        <v>26490</v>
      </c>
      <c r="Q101" s="325">
        <v>0</v>
      </c>
      <c r="R101" s="325">
        <v>0</v>
      </c>
      <c r="S101" s="325">
        <v>0</v>
      </c>
      <c r="T101" s="325">
        <v>0</v>
      </c>
      <c r="U101" s="492">
        <f>O101+P101+Q101+R101+S101+T101</f>
        <v>26490</v>
      </c>
      <c r="V101" s="325">
        <v>0</v>
      </c>
      <c r="W101" s="325">
        <v>0</v>
      </c>
      <c r="X101" s="325">
        <v>0</v>
      </c>
      <c r="Y101" s="492">
        <f t="shared" si="175"/>
        <v>0</v>
      </c>
      <c r="Z101" s="492">
        <f t="shared" si="176"/>
        <v>26490</v>
      </c>
      <c r="AA101" s="494">
        <f t="shared" si="177"/>
        <v>8954</v>
      </c>
      <c r="AB101" s="494">
        <f t="shared" si="178"/>
        <v>265</v>
      </c>
      <c r="AC101" s="492">
        <v>0</v>
      </c>
      <c r="AD101" s="789">
        <f t="shared" si="179"/>
        <v>35709</v>
      </c>
      <c r="AE101" s="851">
        <v>0</v>
      </c>
      <c r="AF101" s="764">
        <v>0.05</v>
      </c>
      <c r="AG101" s="763">
        <v>0</v>
      </c>
      <c r="AH101" s="763">
        <v>0</v>
      </c>
      <c r="AI101" s="326">
        <v>0</v>
      </c>
      <c r="AJ101" s="326">
        <v>0</v>
      </c>
      <c r="AK101" s="626">
        <f>SUM(AE101:AJ101)</f>
        <v>0.05</v>
      </c>
      <c r="AL101" s="696">
        <f>I101+AD101</f>
        <v>35709</v>
      </c>
      <c r="AM101" s="492">
        <f>J101+U101</f>
        <v>26490</v>
      </c>
      <c r="AN101" s="492">
        <f>Y101</f>
        <v>0</v>
      </c>
      <c r="AO101" s="492">
        <f t="shared" si="180"/>
        <v>8954</v>
      </c>
      <c r="AP101" s="492">
        <f t="shared" si="180"/>
        <v>265</v>
      </c>
      <c r="AQ101" s="492">
        <f t="shared" si="180"/>
        <v>0</v>
      </c>
      <c r="AR101" s="626">
        <f>N101+AK101</f>
        <v>0.05</v>
      </c>
    </row>
    <row r="102" spans="1:44" ht="12.95" customHeight="1" x14ac:dyDescent="0.25">
      <c r="A102" s="205">
        <v>25</v>
      </c>
      <c r="B102" s="143">
        <v>5433</v>
      </c>
      <c r="C102" s="143">
        <v>600099253</v>
      </c>
      <c r="D102" s="206">
        <v>70695300</v>
      </c>
      <c r="E102" s="294" t="s">
        <v>483</v>
      </c>
      <c r="F102" s="305">
        <v>3143</v>
      </c>
      <c r="G102" s="248" t="s">
        <v>794</v>
      </c>
      <c r="H102" s="210" t="s">
        <v>262</v>
      </c>
      <c r="I102" s="586">
        <f t="shared" si="129"/>
        <v>710163</v>
      </c>
      <c r="J102" s="490">
        <v>526827</v>
      </c>
      <c r="K102" s="55">
        <f t="shared" si="130"/>
        <v>178068</v>
      </c>
      <c r="L102" s="55">
        <f t="shared" si="131"/>
        <v>5268</v>
      </c>
      <c r="M102" s="490">
        <v>0</v>
      </c>
      <c r="N102" s="752">
        <v>1</v>
      </c>
      <c r="O102" s="327">
        <f>V102*-1</f>
        <v>0</v>
      </c>
      <c r="P102" s="578">
        <v>0</v>
      </c>
      <c r="Q102" s="325">
        <v>0</v>
      </c>
      <c r="R102" s="325">
        <v>0</v>
      </c>
      <c r="S102" s="325">
        <v>0</v>
      </c>
      <c r="T102" s="325">
        <v>0</v>
      </c>
      <c r="U102" s="492">
        <f>O102+P102+Q102+R102+S102+T102</f>
        <v>0</v>
      </c>
      <c r="V102" s="325">
        <v>0</v>
      </c>
      <c r="W102" s="325">
        <v>0</v>
      </c>
      <c r="X102" s="325">
        <v>0</v>
      </c>
      <c r="Y102" s="492">
        <f t="shared" si="175"/>
        <v>0</v>
      </c>
      <c r="Z102" s="492">
        <f t="shared" si="176"/>
        <v>0</v>
      </c>
      <c r="AA102" s="494">
        <f t="shared" si="177"/>
        <v>0</v>
      </c>
      <c r="AB102" s="494">
        <f t="shared" si="178"/>
        <v>0</v>
      </c>
      <c r="AC102" s="492">
        <v>0</v>
      </c>
      <c r="AD102" s="789">
        <f t="shared" si="179"/>
        <v>0</v>
      </c>
      <c r="AE102" s="851">
        <v>0</v>
      </c>
      <c r="AF102" s="764">
        <v>0</v>
      </c>
      <c r="AG102" s="763">
        <v>0</v>
      </c>
      <c r="AH102" s="763">
        <v>0</v>
      </c>
      <c r="AI102" s="326">
        <v>0</v>
      </c>
      <c r="AJ102" s="326">
        <v>0</v>
      </c>
      <c r="AK102" s="626">
        <f>SUM(AE102:AJ102)</f>
        <v>0</v>
      </c>
      <c r="AL102" s="696">
        <f>I102+AD102</f>
        <v>710163</v>
      </c>
      <c r="AM102" s="492">
        <f>J102+U102</f>
        <v>526827</v>
      </c>
      <c r="AN102" s="492">
        <f>Y102</f>
        <v>0</v>
      </c>
      <c r="AO102" s="492">
        <f t="shared" si="180"/>
        <v>178068</v>
      </c>
      <c r="AP102" s="492">
        <f t="shared" si="180"/>
        <v>5268</v>
      </c>
      <c r="AQ102" s="492">
        <f t="shared" si="180"/>
        <v>0</v>
      </c>
      <c r="AR102" s="626">
        <f>N102+AK102</f>
        <v>1</v>
      </c>
    </row>
    <row r="103" spans="1:44" ht="12.95" customHeight="1" x14ac:dyDescent="0.25">
      <c r="A103" s="144">
        <v>25</v>
      </c>
      <c r="B103" s="41">
        <v>5433</v>
      </c>
      <c r="C103" s="41">
        <v>600099253</v>
      </c>
      <c r="D103" s="41">
        <v>70695300</v>
      </c>
      <c r="E103" s="306" t="s">
        <v>484</v>
      </c>
      <c r="F103" s="307"/>
      <c r="G103" s="306"/>
      <c r="H103" s="308"/>
      <c r="I103" s="667">
        <f t="shared" ref="I103:AR103" si="181">SUM(I100:I102)</f>
        <v>3962494</v>
      </c>
      <c r="J103" s="572">
        <f t="shared" si="181"/>
        <v>2939536</v>
      </c>
      <c r="K103" s="351">
        <f t="shared" si="181"/>
        <v>993563</v>
      </c>
      <c r="L103" s="351">
        <f t="shared" si="181"/>
        <v>29395</v>
      </c>
      <c r="M103" s="572">
        <f t="shared" si="181"/>
        <v>0</v>
      </c>
      <c r="N103" s="767">
        <f t="shared" si="181"/>
        <v>4.5908999999999995</v>
      </c>
      <c r="O103" s="672">
        <f t="shared" si="181"/>
        <v>0</v>
      </c>
      <c r="P103" s="466">
        <f t="shared" si="181"/>
        <v>26490</v>
      </c>
      <c r="Q103" s="351">
        <f t="shared" si="181"/>
        <v>0</v>
      </c>
      <c r="R103" s="351">
        <f t="shared" si="181"/>
        <v>0</v>
      </c>
      <c r="S103" s="351">
        <f t="shared" si="181"/>
        <v>0</v>
      </c>
      <c r="T103" s="351">
        <f t="shared" si="181"/>
        <v>0</v>
      </c>
      <c r="U103" s="351">
        <f t="shared" si="181"/>
        <v>26490</v>
      </c>
      <c r="V103" s="351">
        <f t="shared" si="181"/>
        <v>0</v>
      </c>
      <c r="W103" s="351">
        <f t="shared" si="181"/>
        <v>0</v>
      </c>
      <c r="X103" s="351">
        <f t="shared" si="181"/>
        <v>0</v>
      </c>
      <c r="Y103" s="351">
        <f t="shared" si="181"/>
        <v>0</v>
      </c>
      <c r="Z103" s="351">
        <f t="shared" si="181"/>
        <v>26490</v>
      </c>
      <c r="AA103" s="351">
        <f t="shared" si="181"/>
        <v>8954</v>
      </c>
      <c r="AB103" s="351">
        <f t="shared" si="181"/>
        <v>265</v>
      </c>
      <c r="AC103" s="351">
        <f t="shared" si="181"/>
        <v>0</v>
      </c>
      <c r="AD103" s="845">
        <f t="shared" si="181"/>
        <v>35709</v>
      </c>
      <c r="AE103" s="853">
        <f t="shared" si="181"/>
        <v>0</v>
      </c>
      <c r="AF103" s="768">
        <f t="shared" si="181"/>
        <v>0.05</v>
      </c>
      <c r="AG103" s="768">
        <f t="shared" si="181"/>
        <v>0</v>
      </c>
      <c r="AH103" s="768">
        <f t="shared" si="181"/>
        <v>0</v>
      </c>
      <c r="AI103" s="352">
        <f t="shared" si="181"/>
        <v>0</v>
      </c>
      <c r="AJ103" s="352">
        <f t="shared" si="181"/>
        <v>0</v>
      </c>
      <c r="AK103" s="204">
        <f t="shared" si="181"/>
        <v>0.05</v>
      </c>
      <c r="AL103" s="672">
        <f t="shared" si="181"/>
        <v>3998203</v>
      </c>
      <c r="AM103" s="466">
        <f t="shared" si="181"/>
        <v>2966026</v>
      </c>
      <c r="AN103" s="351">
        <f t="shared" si="181"/>
        <v>0</v>
      </c>
      <c r="AO103" s="351">
        <f t="shared" si="181"/>
        <v>1002517</v>
      </c>
      <c r="AP103" s="351">
        <f t="shared" si="181"/>
        <v>29660</v>
      </c>
      <c r="AQ103" s="351">
        <f t="shared" si="181"/>
        <v>0</v>
      </c>
      <c r="AR103" s="204">
        <f t="shared" si="181"/>
        <v>4.6409000000000002</v>
      </c>
    </row>
    <row r="104" spans="1:44" ht="12.95" customHeight="1" x14ac:dyDescent="0.25">
      <c r="A104" s="205">
        <v>26</v>
      </c>
      <c r="B104" s="143">
        <v>5486</v>
      </c>
      <c r="C104" s="143">
        <v>600098711</v>
      </c>
      <c r="D104" s="206">
        <v>72744022</v>
      </c>
      <c r="E104" s="295" t="s">
        <v>485</v>
      </c>
      <c r="F104" s="143">
        <v>3111</v>
      </c>
      <c r="G104" s="296" t="s">
        <v>290</v>
      </c>
      <c r="H104" s="210" t="s">
        <v>262</v>
      </c>
      <c r="I104" s="586">
        <f t="shared" si="129"/>
        <v>2943602</v>
      </c>
      <c r="J104" s="490">
        <v>2183681</v>
      </c>
      <c r="K104" s="55">
        <f t="shared" si="130"/>
        <v>738084</v>
      </c>
      <c r="L104" s="55">
        <f t="shared" si="131"/>
        <v>21837</v>
      </c>
      <c r="M104" s="490">
        <v>0</v>
      </c>
      <c r="N104" s="752">
        <v>3.8938000000000001</v>
      </c>
      <c r="O104" s="555">
        <f>V104*-1</f>
        <v>0</v>
      </c>
      <c r="P104" s="578">
        <v>0</v>
      </c>
      <c r="Q104" s="325">
        <v>0</v>
      </c>
      <c r="R104" s="325">
        <v>0</v>
      </c>
      <c r="S104" s="325">
        <v>0</v>
      </c>
      <c r="T104" s="325">
        <v>0</v>
      </c>
      <c r="U104" s="492">
        <f>O104+P104+Q104+R104+S104+T104</f>
        <v>0</v>
      </c>
      <c r="V104" s="325">
        <v>0</v>
      </c>
      <c r="W104" s="325">
        <v>0</v>
      </c>
      <c r="X104" s="325">
        <v>0</v>
      </c>
      <c r="Y104" s="492">
        <f t="shared" ref="Y104:Y105" si="182">V104+W104+X104</f>
        <v>0</v>
      </c>
      <c r="Z104" s="492">
        <f t="shared" ref="Z104:Z105" si="183">U104+Y104</f>
        <v>0</v>
      </c>
      <c r="AA104" s="494">
        <f t="shared" ref="AA104:AA105" si="184">ROUND((U104+Y104)*33.8%,0)</f>
        <v>0</v>
      </c>
      <c r="AB104" s="494">
        <f t="shared" ref="AB104:AB105" si="185">ROUND(U104*1%,0)</f>
        <v>0</v>
      </c>
      <c r="AC104" s="492">
        <v>0</v>
      </c>
      <c r="AD104" s="789">
        <f t="shared" ref="AD104:AD105" si="186">Z104+AA104+AB104+AC104</f>
        <v>0</v>
      </c>
      <c r="AE104" s="851">
        <v>0</v>
      </c>
      <c r="AF104" s="764">
        <v>0</v>
      </c>
      <c r="AG104" s="763">
        <v>0</v>
      </c>
      <c r="AH104" s="763">
        <v>0</v>
      </c>
      <c r="AI104" s="326">
        <v>0</v>
      </c>
      <c r="AJ104" s="326">
        <v>0</v>
      </c>
      <c r="AK104" s="626">
        <f>SUM(AE104:AJ104)</f>
        <v>0</v>
      </c>
      <c r="AL104" s="696">
        <f>I104+AD104</f>
        <v>2943602</v>
      </c>
      <c r="AM104" s="492">
        <f>J104+U104</f>
        <v>2183681</v>
      </c>
      <c r="AN104" s="492">
        <f>Y104</f>
        <v>0</v>
      </c>
      <c r="AO104" s="492">
        <f t="shared" ref="AO104:AQ105" si="187">K104+AA104</f>
        <v>738084</v>
      </c>
      <c r="AP104" s="492">
        <f t="shared" si="187"/>
        <v>21837</v>
      </c>
      <c r="AQ104" s="492">
        <f t="shared" si="187"/>
        <v>0</v>
      </c>
      <c r="AR104" s="626">
        <f>N104+AK104</f>
        <v>3.8938000000000001</v>
      </c>
    </row>
    <row r="105" spans="1:44" ht="12.95" customHeight="1" x14ac:dyDescent="0.25">
      <c r="A105" s="205">
        <v>26</v>
      </c>
      <c r="B105" s="143">
        <v>5486</v>
      </c>
      <c r="C105" s="143">
        <v>600098711</v>
      </c>
      <c r="D105" s="206">
        <v>72744022</v>
      </c>
      <c r="E105" s="295" t="s">
        <v>485</v>
      </c>
      <c r="F105" s="143">
        <v>3111</v>
      </c>
      <c r="G105" s="296" t="s">
        <v>278</v>
      </c>
      <c r="H105" s="210" t="s">
        <v>263</v>
      </c>
      <c r="I105" s="586">
        <f t="shared" si="129"/>
        <v>0</v>
      </c>
      <c r="J105" s="490">
        <v>0</v>
      </c>
      <c r="K105" s="55">
        <f t="shared" si="130"/>
        <v>0</v>
      </c>
      <c r="L105" s="55">
        <f t="shared" si="131"/>
        <v>0</v>
      </c>
      <c r="M105" s="490">
        <v>0</v>
      </c>
      <c r="N105" s="752">
        <v>0</v>
      </c>
      <c r="O105" s="327">
        <f>V105*-1</f>
        <v>0</v>
      </c>
      <c r="P105" s="578">
        <v>181889</v>
      </c>
      <c r="Q105" s="325">
        <v>0</v>
      </c>
      <c r="R105" s="325">
        <v>0</v>
      </c>
      <c r="S105" s="325">
        <v>0</v>
      </c>
      <c r="T105" s="325">
        <v>0</v>
      </c>
      <c r="U105" s="492">
        <f>O105+P105+Q105+R105+S105+T105</f>
        <v>181889</v>
      </c>
      <c r="V105" s="325">
        <v>0</v>
      </c>
      <c r="W105" s="325">
        <v>0</v>
      </c>
      <c r="X105" s="325">
        <v>0</v>
      </c>
      <c r="Y105" s="492">
        <f t="shared" si="182"/>
        <v>0</v>
      </c>
      <c r="Z105" s="492">
        <f t="shared" si="183"/>
        <v>181889</v>
      </c>
      <c r="AA105" s="494">
        <f t="shared" si="184"/>
        <v>61478</v>
      </c>
      <c r="AB105" s="494">
        <f t="shared" si="185"/>
        <v>1819</v>
      </c>
      <c r="AC105" s="492">
        <v>0</v>
      </c>
      <c r="AD105" s="789">
        <f t="shared" si="186"/>
        <v>245186</v>
      </c>
      <c r="AE105" s="851">
        <v>0</v>
      </c>
      <c r="AF105" s="764">
        <v>0.46</v>
      </c>
      <c r="AG105" s="763">
        <v>0</v>
      </c>
      <c r="AH105" s="763">
        <v>0</v>
      </c>
      <c r="AI105" s="326">
        <v>0</v>
      </c>
      <c r="AJ105" s="326">
        <v>0</v>
      </c>
      <c r="AK105" s="626">
        <f>SUM(AE105:AJ105)</f>
        <v>0.46</v>
      </c>
      <c r="AL105" s="696">
        <f>I105+AD105</f>
        <v>245186</v>
      </c>
      <c r="AM105" s="492">
        <f>J105+U105</f>
        <v>181889</v>
      </c>
      <c r="AN105" s="492">
        <f>Y105</f>
        <v>0</v>
      </c>
      <c r="AO105" s="492">
        <f t="shared" si="187"/>
        <v>61478</v>
      </c>
      <c r="AP105" s="492">
        <f t="shared" si="187"/>
        <v>1819</v>
      </c>
      <c r="AQ105" s="492">
        <f t="shared" si="187"/>
        <v>0</v>
      </c>
      <c r="AR105" s="626">
        <f>N105+AK105</f>
        <v>0.46</v>
      </c>
    </row>
    <row r="106" spans="1:44" ht="12.95" customHeight="1" x14ac:dyDescent="0.25">
      <c r="A106" s="144">
        <v>26</v>
      </c>
      <c r="B106" s="41">
        <v>5486</v>
      </c>
      <c r="C106" s="41">
        <v>600098711</v>
      </c>
      <c r="D106" s="41">
        <v>72744022</v>
      </c>
      <c r="E106" s="297" t="s">
        <v>486</v>
      </c>
      <c r="F106" s="41"/>
      <c r="G106" s="297"/>
      <c r="H106" s="128"/>
      <c r="I106" s="668">
        <f t="shared" ref="I106:AR106" si="188">SUM(I104:I105)</f>
        <v>2943602</v>
      </c>
      <c r="J106" s="573">
        <f t="shared" si="188"/>
        <v>2183681</v>
      </c>
      <c r="K106" s="368">
        <f t="shared" si="188"/>
        <v>738084</v>
      </c>
      <c r="L106" s="368">
        <f t="shared" si="188"/>
        <v>21837</v>
      </c>
      <c r="M106" s="573">
        <f t="shared" si="188"/>
        <v>0</v>
      </c>
      <c r="N106" s="769">
        <f t="shared" si="188"/>
        <v>3.8938000000000001</v>
      </c>
      <c r="O106" s="673">
        <f t="shared" si="188"/>
        <v>0</v>
      </c>
      <c r="P106" s="467">
        <f t="shared" si="188"/>
        <v>181889</v>
      </c>
      <c r="Q106" s="368">
        <f t="shared" si="188"/>
        <v>0</v>
      </c>
      <c r="R106" s="368">
        <f t="shared" si="188"/>
        <v>0</v>
      </c>
      <c r="S106" s="368">
        <f t="shared" si="188"/>
        <v>0</v>
      </c>
      <c r="T106" s="368">
        <f t="shared" si="188"/>
        <v>0</v>
      </c>
      <c r="U106" s="368">
        <f t="shared" si="188"/>
        <v>181889</v>
      </c>
      <c r="V106" s="368">
        <f t="shared" si="188"/>
        <v>0</v>
      </c>
      <c r="W106" s="368">
        <f t="shared" si="188"/>
        <v>0</v>
      </c>
      <c r="X106" s="368">
        <f t="shared" si="188"/>
        <v>0</v>
      </c>
      <c r="Y106" s="368">
        <f t="shared" si="188"/>
        <v>0</v>
      </c>
      <c r="Z106" s="368">
        <f t="shared" si="188"/>
        <v>181889</v>
      </c>
      <c r="AA106" s="368">
        <f t="shared" si="188"/>
        <v>61478</v>
      </c>
      <c r="AB106" s="368">
        <f t="shared" si="188"/>
        <v>1819</v>
      </c>
      <c r="AC106" s="368">
        <f t="shared" si="188"/>
        <v>0</v>
      </c>
      <c r="AD106" s="846">
        <f t="shared" si="188"/>
        <v>245186</v>
      </c>
      <c r="AE106" s="854">
        <f t="shared" si="188"/>
        <v>0</v>
      </c>
      <c r="AF106" s="770">
        <f t="shared" si="188"/>
        <v>0.46</v>
      </c>
      <c r="AG106" s="770">
        <f t="shared" si="188"/>
        <v>0</v>
      </c>
      <c r="AH106" s="770">
        <f t="shared" si="188"/>
        <v>0</v>
      </c>
      <c r="AI106" s="369">
        <f t="shared" si="188"/>
        <v>0</v>
      </c>
      <c r="AJ106" s="369">
        <f t="shared" si="188"/>
        <v>0</v>
      </c>
      <c r="AK106" s="302">
        <f t="shared" si="188"/>
        <v>0.46</v>
      </c>
      <c r="AL106" s="673">
        <f t="shared" si="188"/>
        <v>3188788</v>
      </c>
      <c r="AM106" s="467">
        <f t="shared" si="188"/>
        <v>2365570</v>
      </c>
      <c r="AN106" s="368">
        <f t="shared" si="188"/>
        <v>0</v>
      </c>
      <c r="AO106" s="368">
        <f t="shared" si="188"/>
        <v>799562</v>
      </c>
      <c r="AP106" s="368">
        <f t="shared" si="188"/>
        <v>23656</v>
      </c>
      <c r="AQ106" s="368">
        <f t="shared" si="188"/>
        <v>0</v>
      </c>
      <c r="AR106" s="302">
        <f t="shared" si="188"/>
        <v>4.3538000000000006</v>
      </c>
    </row>
    <row r="107" spans="1:44" ht="12.95" customHeight="1" x14ac:dyDescent="0.25">
      <c r="A107" s="205">
        <v>27</v>
      </c>
      <c r="B107" s="299">
        <v>2440</v>
      </c>
      <c r="C107" s="299">
        <v>600079392</v>
      </c>
      <c r="D107" s="206">
        <v>70981183</v>
      </c>
      <c r="E107" s="295" t="s">
        <v>487</v>
      </c>
      <c r="F107" s="143">
        <v>3111</v>
      </c>
      <c r="G107" s="296" t="s">
        <v>290</v>
      </c>
      <c r="H107" s="210" t="s">
        <v>262</v>
      </c>
      <c r="I107" s="586">
        <f t="shared" si="129"/>
        <v>2291237</v>
      </c>
      <c r="J107" s="490">
        <v>1699731</v>
      </c>
      <c r="K107" s="55">
        <f t="shared" si="130"/>
        <v>574509</v>
      </c>
      <c r="L107" s="55">
        <f t="shared" si="131"/>
        <v>16997</v>
      </c>
      <c r="M107" s="490">
        <v>0</v>
      </c>
      <c r="N107" s="752">
        <v>3</v>
      </c>
      <c r="O107" s="555">
        <f>V107*-1</f>
        <v>0</v>
      </c>
      <c r="P107" s="578">
        <v>0</v>
      </c>
      <c r="Q107" s="325">
        <v>0</v>
      </c>
      <c r="R107" s="325">
        <v>0</v>
      </c>
      <c r="S107" s="325">
        <v>0</v>
      </c>
      <c r="T107" s="325">
        <v>0</v>
      </c>
      <c r="U107" s="492">
        <f>O107+P107+Q107+R107+S107+T107</f>
        <v>0</v>
      </c>
      <c r="V107" s="325">
        <v>0</v>
      </c>
      <c r="W107" s="325">
        <v>0</v>
      </c>
      <c r="X107" s="325">
        <v>0</v>
      </c>
      <c r="Y107" s="492">
        <f t="shared" ref="Y107:Y108" si="189">V107+W107+X107</f>
        <v>0</v>
      </c>
      <c r="Z107" s="492">
        <f t="shared" ref="Z107:Z108" si="190">U107+Y107</f>
        <v>0</v>
      </c>
      <c r="AA107" s="494">
        <f t="shared" ref="AA107:AA108" si="191">ROUND((U107+Y107)*33.8%,0)</f>
        <v>0</v>
      </c>
      <c r="AB107" s="494">
        <f t="shared" ref="AB107:AB108" si="192">ROUND(U107*1%,0)</f>
        <v>0</v>
      </c>
      <c r="AC107" s="492">
        <v>0</v>
      </c>
      <c r="AD107" s="789">
        <f t="shared" ref="AD107:AD108" si="193">Z107+AA107+AB107+AC107</f>
        <v>0</v>
      </c>
      <c r="AE107" s="851">
        <v>0</v>
      </c>
      <c r="AF107" s="764">
        <v>0</v>
      </c>
      <c r="AG107" s="763">
        <v>0</v>
      </c>
      <c r="AH107" s="763">
        <v>0</v>
      </c>
      <c r="AI107" s="326">
        <v>0</v>
      </c>
      <c r="AJ107" s="326">
        <v>0</v>
      </c>
      <c r="AK107" s="626">
        <f>SUM(AE107:AJ107)</f>
        <v>0</v>
      </c>
      <c r="AL107" s="696">
        <f>I107+AD107</f>
        <v>2291237</v>
      </c>
      <c r="AM107" s="492">
        <f>J107+U107</f>
        <v>1699731</v>
      </c>
      <c r="AN107" s="492">
        <f>Y107</f>
        <v>0</v>
      </c>
      <c r="AO107" s="492">
        <f t="shared" ref="AO107:AQ108" si="194">K107+AA107</f>
        <v>574509</v>
      </c>
      <c r="AP107" s="492">
        <f t="shared" si="194"/>
        <v>16997</v>
      </c>
      <c r="AQ107" s="492">
        <f t="shared" si="194"/>
        <v>0</v>
      </c>
      <c r="AR107" s="626">
        <f>N107+AK107</f>
        <v>3</v>
      </c>
    </row>
    <row r="108" spans="1:44" ht="12.95" customHeight="1" x14ac:dyDescent="0.25">
      <c r="A108" s="205">
        <v>27</v>
      </c>
      <c r="B108" s="299">
        <v>2440</v>
      </c>
      <c r="C108" s="299">
        <v>600079392</v>
      </c>
      <c r="D108" s="206">
        <v>70981183</v>
      </c>
      <c r="E108" s="295" t="s">
        <v>487</v>
      </c>
      <c r="F108" s="143">
        <v>3111</v>
      </c>
      <c r="G108" s="296" t="s">
        <v>278</v>
      </c>
      <c r="H108" s="210" t="s">
        <v>263</v>
      </c>
      <c r="I108" s="586">
        <f t="shared" si="129"/>
        <v>0</v>
      </c>
      <c r="J108" s="490">
        <v>0</v>
      </c>
      <c r="K108" s="55">
        <f t="shared" si="130"/>
        <v>0</v>
      </c>
      <c r="L108" s="55">
        <f t="shared" si="131"/>
        <v>0</v>
      </c>
      <c r="M108" s="490">
        <v>0</v>
      </c>
      <c r="N108" s="752">
        <v>0</v>
      </c>
      <c r="O108" s="327">
        <f>V108*-1</f>
        <v>0</v>
      </c>
      <c r="P108" s="578">
        <v>26490</v>
      </c>
      <c r="Q108" s="325">
        <v>0</v>
      </c>
      <c r="R108" s="325">
        <v>0</v>
      </c>
      <c r="S108" s="325">
        <v>0</v>
      </c>
      <c r="T108" s="325">
        <v>0</v>
      </c>
      <c r="U108" s="492">
        <f>O108+P108+Q108+R108+S108+T108</f>
        <v>26490</v>
      </c>
      <c r="V108" s="325">
        <v>0</v>
      </c>
      <c r="W108" s="325">
        <v>0</v>
      </c>
      <c r="X108" s="325">
        <v>0</v>
      </c>
      <c r="Y108" s="492">
        <f t="shared" si="189"/>
        <v>0</v>
      </c>
      <c r="Z108" s="492">
        <f t="shared" si="190"/>
        <v>26490</v>
      </c>
      <c r="AA108" s="494">
        <f t="shared" si="191"/>
        <v>8954</v>
      </c>
      <c r="AB108" s="494">
        <f t="shared" si="192"/>
        <v>265</v>
      </c>
      <c r="AC108" s="492">
        <v>0</v>
      </c>
      <c r="AD108" s="789">
        <f t="shared" si="193"/>
        <v>35709</v>
      </c>
      <c r="AE108" s="851">
        <v>0</v>
      </c>
      <c r="AF108" s="764">
        <v>0.05</v>
      </c>
      <c r="AG108" s="763">
        <v>0</v>
      </c>
      <c r="AH108" s="763">
        <v>0</v>
      </c>
      <c r="AI108" s="326">
        <v>0</v>
      </c>
      <c r="AJ108" s="326">
        <v>0</v>
      </c>
      <c r="AK108" s="626">
        <f>SUM(AE108:AJ108)</f>
        <v>0.05</v>
      </c>
      <c r="AL108" s="696">
        <f>I108+AD108</f>
        <v>35709</v>
      </c>
      <c r="AM108" s="492">
        <f>J108+U108</f>
        <v>26490</v>
      </c>
      <c r="AN108" s="492">
        <f>Y108</f>
        <v>0</v>
      </c>
      <c r="AO108" s="492">
        <f t="shared" si="194"/>
        <v>8954</v>
      </c>
      <c r="AP108" s="492">
        <f t="shared" si="194"/>
        <v>265</v>
      </c>
      <c r="AQ108" s="492">
        <f t="shared" si="194"/>
        <v>0</v>
      </c>
      <c r="AR108" s="626">
        <f>N108+AK108</f>
        <v>0.05</v>
      </c>
    </row>
    <row r="109" spans="1:44" ht="12.95" customHeight="1" x14ac:dyDescent="0.25">
      <c r="A109" s="144">
        <v>27</v>
      </c>
      <c r="B109" s="41">
        <v>2440</v>
      </c>
      <c r="C109" s="41">
        <v>600079392</v>
      </c>
      <c r="D109" s="41">
        <v>70981183</v>
      </c>
      <c r="E109" s="297" t="s">
        <v>488</v>
      </c>
      <c r="F109" s="41"/>
      <c r="G109" s="297"/>
      <c r="H109" s="128"/>
      <c r="I109" s="668">
        <f t="shared" ref="I109:AR109" si="195">SUM(I107:I108)</f>
        <v>2291237</v>
      </c>
      <c r="J109" s="573">
        <f t="shared" si="195"/>
        <v>1699731</v>
      </c>
      <c r="K109" s="368">
        <f t="shared" si="195"/>
        <v>574509</v>
      </c>
      <c r="L109" s="368">
        <f t="shared" si="195"/>
        <v>16997</v>
      </c>
      <c r="M109" s="573">
        <f t="shared" si="195"/>
        <v>0</v>
      </c>
      <c r="N109" s="769">
        <f t="shared" si="195"/>
        <v>3</v>
      </c>
      <c r="O109" s="673">
        <f t="shared" si="195"/>
        <v>0</v>
      </c>
      <c r="P109" s="467">
        <f t="shared" si="195"/>
        <v>26490</v>
      </c>
      <c r="Q109" s="368">
        <f t="shared" si="195"/>
        <v>0</v>
      </c>
      <c r="R109" s="368">
        <f t="shared" si="195"/>
        <v>0</v>
      </c>
      <c r="S109" s="368">
        <f t="shared" si="195"/>
        <v>0</v>
      </c>
      <c r="T109" s="368">
        <f t="shared" si="195"/>
        <v>0</v>
      </c>
      <c r="U109" s="368">
        <f t="shared" si="195"/>
        <v>26490</v>
      </c>
      <c r="V109" s="368">
        <f t="shared" si="195"/>
        <v>0</v>
      </c>
      <c r="W109" s="368">
        <f t="shared" si="195"/>
        <v>0</v>
      </c>
      <c r="X109" s="368">
        <f t="shared" si="195"/>
        <v>0</v>
      </c>
      <c r="Y109" s="368">
        <f t="shared" si="195"/>
        <v>0</v>
      </c>
      <c r="Z109" s="368">
        <f t="shared" si="195"/>
        <v>26490</v>
      </c>
      <c r="AA109" s="368">
        <f t="shared" si="195"/>
        <v>8954</v>
      </c>
      <c r="AB109" s="368">
        <f t="shared" si="195"/>
        <v>265</v>
      </c>
      <c r="AC109" s="368">
        <f t="shared" si="195"/>
        <v>0</v>
      </c>
      <c r="AD109" s="846">
        <f t="shared" si="195"/>
        <v>35709</v>
      </c>
      <c r="AE109" s="854">
        <f t="shared" si="195"/>
        <v>0</v>
      </c>
      <c r="AF109" s="770">
        <f t="shared" si="195"/>
        <v>0.05</v>
      </c>
      <c r="AG109" s="770">
        <f t="shared" si="195"/>
        <v>0</v>
      </c>
      <c r="AH109" s="770">
        <f t="shared" si="195"/>
        <v>0</v>
      </c>
      <c r="AI109" s="369">
        <f t="shared" si="195"/>
        <v>0</v>
      </c>
      <c r="AJ109" s="369">
        <f t="shared" si="195"/>
        <v>0</v>
      </c>
      <c r="AK109" s="302">
        <f t="shared" si="195"/>
        <v>0.05</v>
      </c>
      <c r="AL109" s="673">
        <f t="shared" si="195"/>
        <v>2326946</v>
      </c>
      <c r="AM109" s="467">
        <f t="shared" si="195"/>
        <v>1726221</v>
      </c>
      <c r="AN109" s="368">
        <f t="shared" si="195"/>
        <v>0</v>
      </c>
      <c r="AO109" s="368">
        <f t="shared" si="195"/>
        <v>583463</v>
      </c>
      <c r="AP109" s="368">
        <f t="shared" si="195"/>
        <v>17262</v>
      </c>
      <c r="AQ109" s="368">
        <f t="shared" si="195"/>
        <v>0</v>
      </c>
      <c r="AR109" s="302">
        <f t="shared" si="195"/>
        <v>3.05</v>
      </c>
    </row>
    <row r="110" spans="1:44" ht="12.95" customHeight="1" x14ac:dyDescent="0.25">
      <c r="A110" s="205">
        <v>28</v>
      </c>
      <c r="B110" s="293">
        <v>2303</v>
      </c>
      <c r="C110" s="293">
        <v>600080048</v>
      </c>
      <c r="D110" s="206">
        <v>72743689</v>
      </c>
      <c r="E110" s="294" t="s">
        <v>489</v>
      </c>
      <c r="F110" s="293">
        <v>3111</v>
      </c>
      <c r="G110" s="296" t="s">
        <v>290</v>
      </c>
      <c r="H110" s="210" t="s">
        <v>262</v>
      </c>
      <c r="I110" s="586">
        <f t="shared" si="129"/>
        <v>3332907</v>
      </c>
      <c r="J110" s="490">
        <v>2472483</v>
      </c>
      <c r="K110" s="55">
        <f t="shared" si="130"/>
        <v>835699</v>
      </c>
      <c r="L110" s="55">
        <f t="shared" si="131"/>
        <v>24725</v>
      </c>
      <c r="M110" s="490">
        <v>0</v>
      </c>
      <c r="N110" s="752">
        <v>4</v>
      </c>
      <c r="O110" s="555">
        <f t="shared" ref="O110:O113" si="196">V110*-1</f>
        <v>-18000</v>
      </c>
      <c r="P110" s="578">
        <v>0</v>
      </c>
      <c r="Q110" s="325">
        <v>0</v>
      </c>
      <c r="R110" s="325">
        <v>0</v>
      </c>
      <c r="S110" s="325">
        <v>0</v>
      </c>
      <c r="T110" s="325">
        <v>0</v>
      </c>
      <c r="U110" s="492">
        <f>O110+P110+Q110+R110+S110+T110</f>
        <v>-18000</v>
      </c>
      <c r="V110" s="325">
        <v>18000</v>
      </c>
      <c r="W110" s="325">
        <v>0</v>
      </c>
      <c r="X110" s="325">
        <v>0</v>
      </c>
      <c r="Y110" s="492">
        <f t="shared" ref="Y110:Y113" si="197">V110+W110+X110</f>
        <v>18000</v>
      </c>
      <c r="Z110" s="492">
        <f t="shared" ref="Z110:Z113" si="198">U110+Y110</f>
        <v>0</v>
      </c>
      <c r="AA110" s="494">
        <f t="shared" ref="AA110:AA113" si="199">ROUND((U110+Y110)*33.8%,0)</f>
        <v>0</v>
      </c>
      <c r="AB110" s="494">
        <f t="shared" ref="AB110:AB113" si="200">ROUND(U110*1%,0)</f>
        <v>-180</v>
      </c>
      <c r="AC110" s="492">
        <v>0</v>
      </c>
      <c r="AD110" s="789">
        <f t="shared" ref="AD110:AD113" si="201">Z110+AA110+AB110+AC110</f>
        <v>-180</v>
      </c>
      <c r="AE110" s="851">
        <v>0</v>
      </c>
      <c r="AF110" s="764">
        <v>0</v>
      </c>
      <c r="AG110" s="763">
        <v>0</v>
      </c>
      <c r="AH110" s="763">
        <v>0</v>
      </c>
      <c r="AI110" s="326">
        <v>0</v>
      </c>
      <c r="AJ110" s="326">
        <v>0</v>
      </c>
      <c r="AK110" s="626">
        <f>SUM(AE110:AJ110)</f>
        <v>0</v>
      </c>
      <c r="AL110" s="696">
        <f>I110+AD110</f>
        <v>3332727</v>
      </c>
      <c r="AM110" s="492">
        <f>J110+U110</f>
        <v>2454483</v>
      </c>
      <c r="AN110" s="492">
        <f>Y110</f>
        <v>18000</v>
      </c>
      <c r="AO110" s="492">
        <f t="shared" ref="AO110:AQ113" si="202">K110+AA110</f>
        <v>835699</v>
      </c>
      <c r="AP110" s="492">
        <f t="shared" si="202"/>
        <v>24545</v>
      </c>
      <c r="AQ110" s="492">
        <f t="shared" si="202"/>
        <v>0</v>
      </c>
      <c r="AR110" s="626">
        <f>N110+AK110</f>
        <v>4</v>
      </c>
    </row>
    <row r="111" spans="1:44" ht="12.95" customHeight="1" x14ac:dyDescent="0.25">
      <c r="A111" s="205">
        <v>28</v>
      </c>
      <c r="B111" s="299">
        <v>2303</v>
      </c>
      <c r="C111" s="299">
        <v>600080048</v>
      </c>
      <c r="D111" s="206">
        <v>72743689</v>
      </c>
      <c r="E111" s="142" t="s">
        <v>489</v>
      </c>
      <c r="F111" s="299">
        <v>3117</v>
      </c>
      <c r="G111" s="295" t="s">
        <v>294</v>
      </c>
      <c r="H111" s="210" t="s">
        <v>262</v>
      </c>
      <c r="I111" s="586">
        <f t="shared" si="129"/>
        <v>3333466</v>
      </c>
      <c r="J111" s="490">
        <v>2472897</v>
      </c>
      <c r="K111" s="55">
        <f>ROUND(J111*33.8%,0)+1</f>
        <v>835840</v>
      </c>
      <c r="L111" s="55">
        <f t="shared" si="131"/>
        <v>24729</v>
      </c>
      <c r="M111" s="490">
        <v>0</v>
      </c>
      <c r="N111" s="752">
        <v>3.8165</v>
      </c>
      <c r="O111" s="327">
        <f t="shared" si="196"/>
        <v>-12000</v>
      </c>
      <c r="P111" s="578">
        <v>0</v>
      </c>
      <c r="Q111" s="325">
        <v>0</v>
      </c>
      <c r="R111" s="325">
        <v>0</v>
      </c>
      <c r="S111" s="325">
        <v>0</v>
      </c>
      <c r="T111" s="325">
        <v>0</v>
      </c>
      <c r="U111" s="492">
        <f>O111+P111+Q111+R111+S111+T111</f>
        <v>-12000</v>
      </c>
      <c r="V111" s="325">
        <v>12000</v>
      </c>
      <c r="W111" s="325">
        <v>81507</v>
      </c>
      <c r="X111" s="325">
        <v>0</v>
      </c>
      <c r="Y111" s="492">
        <f t="shared" si="197"/>
        <v>93507</v>
      </c>
      <c r="Z111" s="492">
        <f t="shared" si="198"/>
        <v>81507</v>
      </c>
      <c r="AA111" s="494">
        <f t="shared" si="199"/>
        <v>27549</v>
      </c>
      <c r="AB111" s="494">
        <f t="shared" si="200"/>
        <v>-120</v>
      </c>
      <c r="AC111" s="492">
        <v>0</v>
      </c>
      <c r="AD111" s="789">
        <f t="shared" si="201"/>
        <v>108936</v>
      </c>
      <c r="AE111" s="851">
        <v>-0.01</v>
      </c>
      <c r="AF111" s="764">
        <v>0</v>
      </c>
      <c r="AG111" s="763">
        <v>0</v>
      </c>
      <c r="AH111" s="763">
        <v>0</v>
      </c>
      <c r="AI111" s="326">
        <v>0</v>
      </c>
      <c r="AJ111" s="326">
        <v>0</v>
      </c>
      <c r="AK111" s="626">
        <f>SUM(AE111:AJ111)</f>
        <v>-0.01</v>
      </c>
      <c r="AL111" s="696">
        <f>I111+AD111</f>
        <v>3442402</v>
      </c>
      <c r="AM111" s="492">
        <f>J111+U111</f>
        <v>2460897</v>
      </c>
      <c r="AN111" s="492">
        <f>Y111</f>
        <v>93507</v>
      </c>
      <c r="AO111" s="492">
        <f t="shared" si="202"/>
        <v>863389</v>
      </c>
      <c r="AP111" s="492">
        <f t="shared" si="202"/>
        <v>24609</v>
      </c>
      <c r="AQ111" s="492">
        <f t="shared" si="202"/>
        <v>0</v>
      </c>
      <c r="AR111" s="626">
        <f>N111+AK111</f>
        <v>3.8065000000000002</v>
      </c>
    </row>
    <row r="112" spans="1:44" ht="12.95" customHeight="1" x14ac:dyDescent="0.25">
      <c r="A112" s="205">
        <v>28</v>
      </c>
      <c r="B112" s="143">
        <v>2303</v>
      </c>
      <c r="C112" s="143">
        <v>600080048</v>
      </c>
      <c r="D112" s="206">
        <v>72743689</v>
      </c>
      <c r="E112" s="294" t="s">
        <v>489</v>
      </c>
      <c r="F112" s="299">
        <v>3117</v>
      </c>
      <c r="G112" s="248" t="s">
        <v>278</v>
      </c>
      <c r="H112" s="210" t="s">
        <v>263</v>
      </c>
      <c r="I112" s="586">
        <f t="shared" si="129"/>
        <v>0</v>
      </c>
      <c r="J112" s="490">
        <v>0</v>
      </c>
      <c r="K112" s="55">
        <f t="shared" si="130"/>
        <v>0</v>
      </c>
      <c r="L112" s="55">
        <f t="shared" si="131"/>
        <v>0</v>
      </c>
      <c r="M112" s="490">
        <v>0</v>
      </c>
      <c r="N112" s="752">
        <v>0</v>
      </c>
      <c r="O112" s="327">
        <f t="shared" si="196"/>
        <v>0</v>
      </c>
      <c r="P112" s="578">
        <v>0</v>
      </c>
      <c r="Q112" s="325">
        <v>0</v>
      </c>
      <c r="R112" s="325">
        <v>0</v>
      </c>
      <c r="S112" s="325">
        <v>0</v>
      </c>
      <c r="T112" s="325">
        <v>0</v>
      </c>
      <c r="U112" s="492">
        <f>O112+P112+Q112+R112+S112+T112</f>
        <v>0</v>
      </c>
      <c r="V112" s="325">
        <v>0</v>
      </c>
      <c r="W112" s="325">
        <v>0</v>
      </c>
      <c r="X112" s="325">
        <v>0</v>
      </c>
      <c r="Y112" s="492">
        <f t="shared" si="197"/>
        <v>0</v>
      </c>
      <c r="Z112" s="492">
        <f t="shared" si="198"/>
        <v>0</v>
      </c>
      <c r="AA112" s="494">
        <f t="shared" si="199"/>
        <v>0</v>
      </c>
      <c r="AB112" s="494">
        <f t="shared" si="200"/>
        <v>0</v>
      </c>
      <c r="AC112" s="492">
        <v>0</v>
      </c>
      <c r="AD112" s="789">
        <f t="shared" si="201"/>
        <v>0</v>
      </c>
      <c r="AE112" s="851">
        <v>0</v>
      </c>
      <c r="AF112" s="764">
        <v>0</v>
      </c>
      <c r="AG112" s="763">
        <v>0</v>
      </c>
      <c r="AH112" s="763">
        <v>0</v>
      </c>
      <c r="AI112" s="326">
        <v>0</v>
      </c>
      <c r="AJ112" s="326">
        <v>0</v>
      </c>
      <c r="AK112" s="626">
        <f>SUM(AE112:AJ112)</f>
        <v>0</v>
      </c>
      <c r="AL112" s="696">
        <f>I112+AD112</f>
        <v>0</v>
      </c>
      <c r="AM112" s="492">
        <f>J112+U112</f>
        <v>0</v>
      </c>
      <c r="AN112" s="492">
        <f>Y112</f>
        <v>0</v>
      </c>
      <c r="AO112" s="492">
        <f t="shared" si="202"/>
        <v>0</v>
      </c>
      <c r="AP112" s="492">
        <f t="shared" si="202"/>
        <v>0</v>
      </c>
      <c r="AQ112" s="492">
        <f t="shared" si="202"/>
        <v>0</v>
      </c>
      <c r="AR112" s="626">
        <f>N112+AK112</f>
        <v>0</v>
      </c>
    </row>
    <row r="113" spans="1:44" ht="12.95" customHeight="1" x14ac:dyDescent="0.25">
      <c r="A113" s="205">
        <v>28</v>
      </c>
      <c r="B113" s="143">
        <v>2303</v>
      </c>
      <c r="C113" s="143">
        <v>600080048</v>
      </c>
      <c r="D113" s="206">
        <v>72743689</v>
      </c>
      <c r="E113" s="294" t="s">
        <v>489</v>
      </c>
      <c r="F113" s="305">
        <v>3143</v>
      </c>
      <c r="G113" s="248" t="s">
        <v>794</v>
      </c>
      <c r="H113" s="210" t="s">
        <v>262</v>
      </c>
      <c r="I113" s="586">
        <f t="shared" si="129"/>
        <v>1039046</v>
      </c>
      <c r="J113" s="490">
        <v>770806</v>
      </c>
      <c r="K113" s="55">
        <f t="shared" si="130"/>
        <v>260532</v>
      </c>
      <c r="L113" s="55">
        <f t="shared" si="131"/>
        <v>7708</v>
      </c>
      <c r="M113" s="490">
        <v>0</v>
      </c>
      <c r="N113" s="752">
        <v>1.5</v>
      </c>
      <c r="O113" s="327">
        <f t="shared" si="196"/>
        <v>-3000</v>
      </c>
      <c r="P113" s="578">
        <v>0</v>
      </c>
      <c r="Q113" s="325">
        <v>0</v>
      </c>
      <c r="R113" s="325">
        <v>0</v>
      </c>
      <c r="S113" s="325">
        <v>0</v>
      </c>
      <c r="T113" s="325">
        <v>0</v>
      </c>
      <c r="U113" s="492">
        <f>O113+P113+Q113+R113+S113+T113</f>
        <v>-3000</v>
      </c>
      <c r="V113" s="325">
        <v>3000</v>
      </c>
      <c r="W113" s="325">
        <v>0</v>
      </c>
      <c r="X113" s="325">
        <v>0</v>
      </c>
      <c r="Y113" s="492">
        <f t="shared" si="197"/>
        <v>3000</v>
      </c>
      <c r="Z113" s="492">
        <f t="shared" si="198"/>
        <v>0</v>
      </c>
      <c r="AA113" s="494">
        <f t="shared" si="199"/>
        <v>0</v>
      </c>
      <c r="AB113" s="494">
        <f t="shared" si="200"/>
        <v>-30</v>
      </c>
      <c r="AC113" s="492">
        <v>0</v>
      </c>
      <c r="AD113" s="789">
        <f t="shared" si="201"/>
        <v>-30</v>
      </c>
      <c r="AE113" s="851">
        <v>0</v>
      </c>
      <c r="AF113" s="764">
        <v>0</v>
      </c>
      <c r="AG113" s="763">
        <v>0</v>
      </c>
      <c r="AH113" s="763">
        <v>0</v>
      </c>
      <c r="AI113" s="326">
        <v>0</v>
      </c>
      <c r="AJ113" s="326">
        <v>0</v>
      </c>
      <c r="AK113" s="626">
        <f>SUM(AE113:AJ113)</f>
        <v>0</v>
      </c>
      <c r="AL113" s="696">
        <f>I113+AD113</f>
        <v>1039016</v>
      </c>
      <c r="AM113" s="492">
        <f>J113+U113</f>
        <v>767806</v>
      </c>
      <c r="AN113" s="492">
        <f>Y113</f>
        <v>3000</v>
      </c>
      <c r="AO113" s="492">
        <f t="shared" si="202"/>
        <v>260532</v>
      </c>
      <c r="AP113" s="492">
        <f t="shared" si="202"/>
        <v>7678</v>
      </c>
      <c r="AQ113" s="492">
        <f t="shared" si="202"/>
        <v>0</v>
      </c>
      <c r="AR113" s="626">
        <f>N113+AK113</f>
        <v>1.5</v>
      </c>
    </row>
    <row r="114" spans="1:44" ht="12.95" customHeight="1" x14ac:dyDescent="0.25">
      <c r="A114" s="144">
        <v>28</v>
      </c>
      <c r="B114" s="41">
        <v>2303</v>
      </c>
      <c r="C114" s="41">
        <v>600080048</v>
      </c>
      <c r="D114" s="41">
        <v>72743689</v>
      </c>
      <c r="E114" s="306" t="s">
        <v>490</v>
      </c>
      <c r="F114" s="307"/>
      <c r="G114" s="306"/>
      <c r="H114" s="308"/>
      <c r="I114" s="668">
        <f t="shared" ref="I114:AR114" si="203">SUM(I110:I113)</f>
        <v>7705419</v>
      </c>
      <c r="J114" s="573">
        <f t="shared" si="203"/>
        <v>5716186</v>
      </c>
      <c r="K114" s="368">
        <f t="shared" si="203"/>
        <v>1932071</v>
      </c>
      <c r="L114" s="368">
        <f t="shared" si="203"/>
        <v>57162</v>
      </c>
      <c r="M114" s="573">
        <f t="shared" si="203"/>
        <v>0</v>
      </c>
      <c r="N114" s="769">
        <f t="shared" si="203"/>
        <v>9.3164999999999996</v>
      </c>
      <c r="O114" s="673">
        <f t="shared" si="203"/>
        <v>-33000</v>
      </c>
      <c r="P114" s="467">
        <f t="shared" si="203"/>
        <v>0</v>
      </c>
      <c r="Q114" s="368">
        <f t="shared" si="203"/>
        <v>0</v>
      </c>
      <c r="R114" s="368">
        <f t="shared" si="203"/>
        <v>0</v>
      </c>
      <c r="S114" s="368">
        <f t="shared" si="203"/>
        <v>0</v>
      </c>
      <c r="T114" s="368">
        <f t="shared" si="203"/>
        <v>0</v>
      </c>
      <c r="U114" s="368">
        <f t="shared" si="203"/>
        <v>-33000</v>
      </c>
      <c r="V114" s="368">
        <f t="shared" si="203"/>
        <v>33000</v>
      </c>
      <c r="W114" s="368">
        <f t="shared" si="203"/>
        <v>81507</v>
      </c>
      <c r="X114" s="368">
        <f t="shared" si="203"/>
        <v>0</v>
      </c>
      <c r="Y114" s="368">
        <f t="shared" si="203"/>
        <v>114507</v>
      </c>
      <c r="Z114" s="368">
        <f t="shared" si="203"/>
        <v>81507</v>
      </c>
      <c r="AA114" s="368">
        <f t="shared" si="203"/>
        <v>27549</v>
      </c>
      <c r="AB114" s="368">
        <f t="shared" si="203"/>
        <v>-330</v>
      </c>
      <c r="AC114" s="368">
        <f t="shared" si="203"/>
        <v>0</v>
      </c>
      <c r="AD114" s="846">
        <f t="shared" si="203"/>
        <v>108726</v>
      </c>
      <c r="AE114" s="854">
        <f t="shared" si="203"/>
        <v>-0.01</v>
      </c>
      <c r="AF114" s="770">
        <f t="shared" si="203"/>
        <v>0</v>
      </c>
      <c r="AG114" s="770">
        <f t="shared" si="203"/>
        <v>0</v>
      </c>
      <c r="AH114" s="770">
        <f t="shared" si="203"/>
        <v>0</v>
      </c>
      <c r="AI114" s="369">
        <f t="shared" si="203"/>
        <v>0</v>
      </c>
      <c r="AJ114" s="369">
        <f t="shared" si="203"/>
        <v>0</v>
      </c>
      <c r="AK114" s="302">
        <f t="shared" si="203"/>
        <v>-0.01</v>
      </c>
      <c r="AL114" s="673">
        <f t="shared" si="203"/>
        <v>7814145</v>
      </c>
      <c r="AM114" s="467">
        <f t="shared" si="203"/>
        <v>5683186</v>
      </c>
      <c r="AN114" s="368">
        <f t="shared" si="203"/>
        <v>114507</v>
      </c>
      <c r="AO114" s="368">
        <f t="shared" si="203"/>
        <v>1959620</v>
      </c>
      <c r="AP114" s="368">
        <f t="shared" si="203"/>
        <v>56832</v>
      </c>
      <c r="AQ114" s="368">
        <f t="shared" si="203"/>
        <v>0</v>
      </c>
      <c r="AR114" s="302">
        <f t="shared" si="203"/>
        <v>9.3064999999999998</v>
      </c>
    </row>
    <row r="115" spans="1:44" ht="12.95" customHeight="1" x14ac:dyDescent="0.25">
      <c r="A115" s="205">
        <v>29</v>
      </c>
      <c r="B115" s="143">
        <v>5437</v>
      </c>
      <c r="C115" s="143">
        <v>600098931</v>
      </c>
      <c r="D115" s="206">
        <v>72742135</v>
      </c>
      <c r="E115" s="295" t="s">
        <v>491</v>
      </c>
      <c r="F115" s="143">
        <v>3111</v>
      </c>
      <c r="G115" s="296" t="s">
        <v>290</v>
      </c>
      <c r="H115" s="210" t="s">
        <v>262</v>
      </c>
      <c r="I115" s="586">
        <f t="shared" si="129"/>
        <v>4830198</v>
      </c>
      <c r="J115" s="490">
        <v>3583233</v>
      </c>
      <c r="K115" s="55">
        <f t="shared" si="130"/>
        <v>1211133</v>
      </c>
      <c r="L115" s="55">
        <f t="shared" si="131"/>
        <v>35832</v>
      </c>
      <c r="M115" s="490">
        <v>0</v>
      </c>
      <c r="N115" s="752">
        <v>6.24</v>
      </c>
      <c r="O115" s="555">
        <f>V115*-1</f>
        <v>0</v>
      </c>
      <c r="P115" s="578">
        <v>0</v>
      </c>
      <c r="Q115" s="325">
        <v>0</v>
      </c>
      <c r="R115" s="325">
        <v>0</v>
      </c>
      <c r="S115" s="325">
        <v>0</v>
      </c>
      <c r="T115" s="325">
        <v>0</v>
      </c>
      <c r="U115" s="492">
        <f>O115+P115+Q115+R115+S115+T115</f>
        <v>0</v>
      </c>
      <c r="V115" s="325">
        <v>0</v>
      </c>
      <c r="W115" s="325">
        <v>0</v>
      </c>
      <c r="X115" s="325">
        <v>0</v>
      </c>
      <c r="Y115" s="492">
        <f>V115+W115+X115</f>
        <v>0</v>
      </c>
      <c r="Z115" s="492">
        <f>U115+Y115</f>
        <v>0</v>
      </c>
      <c r="AA115" s="494">
        <f>ROUND((U115+Y115)*33.8%,0)</f>
        <v>0</v>
      </c>
      <c r="AB115" s="494">
        <f t="shared" ref="AB115" si="204">ROUND(U115*1%,0)</f>
        <v>0</v>
      </c>
      <c r="AC115" s="492">
        <v>0</v>
      </c>
      <c r="AD115" s="789">
        <f t="shared" ref="AD115" si="205">Z115+AA115+AB115+AC115</f>
        <v>0</v>
      </c>
      <c r="AE115" s="851">
        <v>0</v>
      </c>
      <c r="AF115" s="764">
        <v>0</v>
      </c>
      <c r="AG115" s="763">
        <v>0</v>
      </c>
      <c r="AH115" s="763">
        <v>0</v>
      </c>
      <c r="AI115" s="326">
        <v>0</v>
      </c>
      <c r="AJ115" s="326">
        <v>0</v>
      </c>
      <c r="AK115" s="626">
        <f>SUM(AE115:AJ115)</f>
        <v>0</v>
      </c>
      <c r="AL115" s="696">
        <f>I115+AD115</f>
        <v>4830198</v>
      </c>
      <c r="AM115" s="492">
        <f>J115+U115</f>
        <v>3583233</v>
      </c>
      <c r="AN115" s="492">
        <f>Y115</f>
        <v>0</v>
      </c>
      <c r="AO115" s="492">
        <f>K115+AA115</f>
        <v>1211133</v>
      </c>
      <c r="AP115" s="492">
        <f>L115+AB115</f>
        <v>35832</v>
      </c>
      <c r="AQ115" s="492">
        <f>M115+AC115</f>
        <v>0</v>
      </c>
      <c r="AR115" s="626">
        <f>N115+AK115</f>
        <v>6.24</v>
      </c>
    </row>
    <row r="116" spans="1:44" ht="12.95" customHeight="1" x14ac:dyDescent="0.25">
      <c r="A116" s="144">
        <v>29</v>
      </c>
      <c r="B116" s="41">
        <v>5437</v>
      </c>
      <c r="C116" s="41">
        <v>600098931</v>
      </c>
      <c r="D116" s="41">
        <v>72742135</v>
      </c>
      <c r="E116" s="297" t="s">
        <v>492</v>
      </c>
      <c r="F116" s="41"/>
      <c r="G116" s="297"/>
      <c r="H116" s="128"/>
      <c r="I116" s="668">
        <f t="shared" ref="I116:AR116" si="206">SUM(I115:I115)</f>
        <v>4830198</v>
      </c>
      <c r="J116" s="573">
        <f t="shared" si="206"/>
        <v>3583233</v>
      </c>
      <c r="K116" s="368">
        <f t="shared" si="206"/>
        <v>1211133</v>
      </c>
      <c r="L116" s="368">
        <f t="shared" si="206"/>
        <v>35832</v>
      </c>
      <c r="M116" s="573">
        <f t="shared" si="206"/>
        <v>0</v>
      </c>
      <c r="N116" s="769">
        <f t="shared" si="206"/>
        <v>6.24</v>
      </c>
      <c r="O116" s="673">
        <f t="shared" si="206"/>
        <v>0</v>
      </c>
      <c r="P116" s="467">
        <f t="shared" si="206"/>
        <v>0</v>
      </c>
      <c r="Q116" s="368">
        <f t="shared" si="206"/>
        <v>0</v>
      </c>
      <c r="R116" s="368">
        <f t="shared" si="206"/>
        <v>0</v>
      </c>
      <c r="S116" s="368">
        <f t="shared" si="206"/>
        <v>0</v>
      </c>
      <c r="T116" s="368">
        <f t="shared" si="206"/>
        <v>0</v>
      </c>
      <c r="U116" s="368">
        <f t="shared" si="206"/>
        <v>0</v>
      </c>
      <c r="V116" s="368">
        <f t="shared" si="206"/>
        <v>0</v>
      </c>
      <c r="W116" s="368">
        <f t="shared" si="206"/>
        <v>0</v>
      </c>
      <c r="X116" s="368">
        <f t="shared" si="206"/>
        <v>0</v>
      </c>
      <c r="Y116" s="368">
        <f t="shared" si="206"/>
        <v>0</v>
      </c>
      <c r="Z116" s="368">
        <f t="shared" si="206"/>
        <v>0</v>
      </c>
      <c r="AA116" s="368">
        <f t="shared" si="206"/>
        <v>0</v>
      </c>
      <c r="AB116" s="368">
        <f t="shared" si="206"/>
        <v>0</v>
      </c>
      <c r="AC116" s="368">
        <f t="shared" si="206"/>
        <v>0</v>
      </c>
      <c r="AD116" s="846">
        <f t="shared" si="206"/>
        <v>0</v>
      </c>
      <c r="AE116" s="854">
        <f t="shared" si="206"/>
        <v>0</v>
      </c>
      <c r="AF116" s="770">
        <f t="shared" si="206"/>
        <v>0</v>
      </c>
      <c r="AG116" s="770">
        <f t="shared" si="206"/>
        <v>0</v>
      </c>
      <c r="AH116" s="770">
        <f t="shared" si="206"/>
        <v>0</v>
      </c>
      <c r="AI116" s="369">
        <f t="shared" si="206"/>
        <v>0</v>
      </c>
      <c r="AJ116" s="369">
        <f t="shared" si="206"/>
        <v>0</v>
      </c>
      <c r="AK116" s="302">
        <f t="shared" si="206"/>
        <v>0</v>
      </c>
      <c r="AL116" s="673">
        <f t="shared" si="206"/>
        <v>4830198</v>
      </c>
      <c r="AM116" s="467">
        <f t="shared" si="206"/>
        <v>3583233</v>
      </c>
      <c r="AN116" s="368">
        <f t="shared" si="206"/>
        <v>0</v>
      </c>
      <c r="AO116" s="368">
        <f t="shared" si="206"/>
        <v>1211133</v>
      </c>
      <c r="AP116" s="368">
        <f t="shared" si="206"/>
        <v>35832</v>
      </c>
      <c r="AQ116" s="368">
        <f t="shared" si="206"/>
        <v>0</v>
      </c>
      <c r="AR116" s="302">
        <f t="shared" si="206"/>
        <v>6.24</v>
      </c>
    </row>
    <row r="117" spans="1:44" ht="12.95" customHeight="1" x14ac:dyDescent="0.25">
      <c r="A117" s="205">
        <v>30</v>
      </c>
      <c r="B117" s="299">
        <v>5438</v>
      </c>
      <c r="C117" s="299">
        <v>600099032</v>
      </c>
      <c r="D117" s="206">
        <v>72742054</v>
      </c>
      <c r="E117" s="142" t="s">
        <v>493</v>
      </c>
      <c r="F117" s="143">
        <v>3117</v>
      </c>
      <c r="G117" s="295" t="s">
        <v>294</v>
      </c>
      <c r="H117" s="210" t="s">
        <v>262</v>
      </c>
      <c r="I117" s="586">
        <f t="shared" si="129"/>
        <v>3464558</v>
      </c>
      <c r="J117" s="490">
        <v>2570147</v>
      </c>
      <c r="K117" s="55">
        <f>ROUND(J117*33.8%,0)-1</f>
        <v>868709</v>
      </c>
      <c r="L117" s="55">
        <f>ROUND(J117*1%,0)+1</f>
        <v>25702</v>
      </c>
      <c r="M117" s="490">
        <v>0</v>
      </c>
      <c r="N117" s="752">
        <v>3.6589999999999998</v>
      </c>
      <c r="O117" s="555">
        <f>V117*-1</f>
        <v>0</v>
      </c>
      <c r="P117" s="578">
        <v>0</v>
      </c>
      <c r="Q117" s="325">
        <v>0</v>
      </c>
      <c r="R117" s="325">
        <v>0</v>
      </c>
      <c r="S117" s="325">
        <v>0</v>
      </c>
      <c r="T117" s="325">
        <v>0</v>
      </c>
      <c r="U117" s="492">
        <f>O117+P117+Q117+R117+S117+T117</f>
        <v>0</v>
      </c>
      <c r="V117" s="325">
        <v>0</v>
      </c>
      <c r="W117" s="325">
        <v>0</v>
      </c>
      <c r="X117" s="325">
        <v>0</v>
      </c>
      <c r="Y117" s="492">
        <f t="shared" ref="Y117:Y119" si="207">V117+W117+X117</f>
        <v>0</v>
      </c>
      <c r="Z117" s="492">
        <f t="shared" ref="Z117:Z119" si="208">U117+Y117</f>
        <v>0</v>
      </c>
      <c r="AA117" s="494">
        <f t="shared" ref="AA117:AA119" si="209">ROUND((U117+Y117)*33.8%,0)</f>
        <v>0</v>
      </c>
      <c r="AB117" s="494">
        <f t="shared" ref="AB117:AB119" si="210">ROUND(U117*1%,0)</f>
        <v>0</v>
      </c>
      <c r="AC117" s="492">
        <v>0</v>
      </c>
      <c r="AD117" s="789">
        <f t="shared" ref="AD117:AD119" si="211">Z117+AA117+AB117+AC117</f>
        <v>0</v>
      </c>
      <c r="AE117" s="851">
        <v>0</v>
      </c>
      <c r="AF117" s="764">
        <v>0</v>
      </c>
      <c r="AG117" s="763">
        <v>0</v>
      </c>
      <c r="AH117" s="763">
        <v>0</v>
      </c>
      <c r="AI117" s="326">
        <v>0</v>
      </c>
      <c r="AJ117" s="326">
        <v>0</v>
      </c>
      <c r="AK117" s="626">
        <f>SUM(AE117:AJ117)</f>
        <v>0</v>
      </c>
      <c r="AL117" s="696">
        <f>I117+AD117</f>
        <v>3464558</v>
      </c>
      <c r="AM117" s="492">
        <f>J117+U117</f>
        <v>2570147</v>
      </c>
      <c r="AN117" s="492">
        <f>Y117</f>
        <v>0</v>
      </c>
      <c r="AO117" s="492">
        <f t="shared" ref="AO117:AQ119" si="212">K117+AA117</f>
        <v>868709</v>
      </c>
      <c r="AP117" s="492">
        <f t="shared" si="212"/>
        <v>25702</v>
      </c>
      <c r="AQ117" s="492">
        <f t="shared" si="212"/>
        <v>0</v>
      </c>
      <c r="AR117" s="626">
        <f>N117+AK117</f>
        <v>3.6589999999999998</v>
      </c>
    </row>
    <row r="118" spans="1:44" ht="12.95" customHeight="1" x14ac:dyDescent="0.25">
      <c r="A118" s="205">
        <v>30</v>
      </c>
      <c r="B118" s="143">
        <v>5438</v>
      </c>
      <c r="C118" s="143">
        <v>600099032</v>
      </c>
      <c r="D118" s="206">
        <v>72742054</v>
      </c>
      <c r="E118" s="294" t="s">
        <v>493</v>
      </c>
      <c r="F118" s="143">
        <v>3117</v>
      </c>
      <c r="G118" s="248" t="s">
        <v>278</v>
      </c>
      <c r="H118" s="210" t="s">
        <v>263</v>
      </c>
      <c r="I118" s="586">
        <f t="shared" si="129"/>
        <v>0</v>
      </c>
      <c r="J118" s="490">
        <v>0</v>
      </c>
      <c r="K118" s="55">
        <f t="shared" si="130"/>
        <v>0</v>
      </c>
      <c r="L118" s="55">
        <f t="shared" si="131"/>
        <v>0</v>
      </c>
      <c r="M118" s="490">
        <v>0</v>
      </c>
      <c r="N118" s="752">
        <v>0</v>
      </c>
      <c r="O118" s="327">
        <f>V118*-1</f>
        <v>0</v>
      </c>
      <c r="P118" s="578">
        <v>0</v>
      </c>
      <c r="Q118" s="325">
        <v>0</v>
      </c>
      <c r="R118" s="325">
        <v>0</v>
      </c>
      <c r="S118" s="325">
        <v>0</v>
      </c>
      <c r="T118" s="325">
        <v>0</v>
      </c>
      <c r="U118" s="492">
        <f>O118+P118+Q118+R118+S118+T118</f>
        <v>0</v>
      </c>
      <c r="V118" s="325">
        <v>0</v>
      </c>
      <c r="W118" s="325">
        <v>0</v>
      </c>
      <c r="X118" s="325">
        <v>0</v>
      </c>
      <c r="Y118" s="492">
        <f t="shared" si="207"/>
        <v>0</v>
      </c>
      <c r="Z118" s="492">
        <f t="shared" si="208"/>
        <v>0</v>
      </c>
      <c r="AA118" s="494">
        <f t="shared" si="209"/>
        <v>0</v>
      </c>
      <c r="AB118" s="494">
        <f t="shared" si="210"/>
        <v>0</v>
      </c>
      <c r="AC118" s="492">
        <v>0</v>
      </c>
      <c r="AD118" s="789">
        <f t="shared" si="211"/>
        <v>0</v>
      </c>
      <c r="AE118" s="851">
        <v>0</v>
      </c>
      <c r="AF118" s="764">
        <v>0</v>
      </c>
      <c r="AG118" s="763">
        <v>0</v>
      </c>
      <c r="AH118" s="763">
        <v>0</v>
      </c>
      <c r="AI118" s="326">
        <v>0</v>
      </c>
      <c r="AJ118" s="326">
        <v>0</v>
      </c>
      <c r="AK118" s="626">
        <f>SUM(AE118:AJ118)</f>
        <v>0</v>
      </c>
      <c r="AL118" s="696">
        <f>I118+AD118</f>
        <v>0</v>
      </c>
      <c r="AM118" s="492">
        <f>J118+U118</f>
        <v>0</v>
      </c>
      <c r="AN118" s="492">
        <f>Y118</f>
        <v>0</v>
      </c>
      <c r="AO118" s="492">
        <f t="shared" si="212"/>
        <v>0</v>
      </c>
      <c r="AP118" s="492">
        <f t="shared" si="212"/>
        <v>0</v>
      </c>
      <c r="AQ118" s="492">
        <f t="shared" si="212"/>
        <v>0</v>
      </c>
      <c r="AR118" s="626">
        <f>N118+AK118</f>
        <v>0</v>
      </c>
    </row>
    <row r="119" spans="1:44" ht="12.95" customHeight="1" x14ac:dyDescent="0.25">
      <c r="A119" s="205">
        <v>30</v>
      </c>
      <c r="B119" s="143">
        <v>5438</v>
      </c>
      <c r="C119" s="143">
        <v>600099032</v>
      </c>
      <c r="D119" s="206">
        <v>72742054</v>
      </c>
      <c r="E119" s="294" t="s">
        <v>493</v>
      </c>
      <c r="F119" s="305">
        <v>3143</v>
      </c>
      <c r="G119" s="248" t="s">
        <v>794</v>
      </c>
      <c r="H119" s="210" t="s">
        <v>262</v>
      </c>
      <c r="I119" s="586">
        <f t="shared" si="129"/>
        <v>831882</v>
      </c>
      <c r="J119" s="490">
        <v>617123</v>
      </c>
      <c r="K119" s="55">
        <f t="shared" si="130"/>
        <v>208588</v>
      </c>
      <c r="L119" s="55">
        <f t="shared" si="131"/>
        <v>6171</v>
      </c>
      <c r="M119" s="490">
        <v>0</v>
      </c>
      <c r="N119" s="752">
        <v>1.125</v>
      </c>
      <c r="O119" s="327">
        <f>V119*-1</f>
        <v>0</v>
      </c>
      <c r="P119" s="578">
        <v>0</v>
      </c>
      <c r="Q119" s="325">
        <v>0</v>
      </c>
      <c r="R119" s="325">
        <v>0</v>
      </c>
      <c r="S119" s="325">
        <v>0</v>
      </c>
      <c r="T119" s="325">
        <v>0</v>
      </c>
      <c r="U119" s="492">
        <f>O119+P119+Q119+R119+S119+T119</f>
        <v>0</v>
      </c>
      <c r="V119" s="325">
        <v>0</v>
      </c>
      <c r="W119" s="325">
        <v>0</v>
      </c>
      <c r="X119" s="325">
        <v>0</v>
      </c>
      <c r="Y119" s="492">
        <f t="shared" si="207"/>
        <v>0</v>
      </c>
      <c r="Z119" s="492">
        <f t="shared" si="208"/>
        <v>0</v>
      </c>
      <c r="AA119" s="494">
        <f t="shared" si="209"/>
        <v>0</v>
      </c>
      <c r="AB119" s="494">
        <f t="shared" si="210"/>
        <v>0</v>
      </c>
      <c r="AC119" s="492">
        <v>0</v>
      </c>
      <c r="AD119" s="789">
        <f t="shared" si="211"/>
        <v>0</v>
      </c>
      <c r="AE119" s="851">
        <v>0</v>
      </c>
      <c r="AF119" s="764">
        <v>0</v>
      </c>
      <c r="AG119" s="763">
        <v>0</v>
      </c>
      <c r="AH119" s="763">
        <v>0</v>
      </c>
      <c r="AI119" s="326">
        <v>0</v>
      </c>
      <c r="AJ119" s="326">
        <v>0</v>
      </c>
      <c r="AK119" s="626">
        <f>SUM(AE119:AJ119)</f>
        <v>0</v>
      </c>
      <c r="AL119" s="696">
        <f>I119+AD119</f>
        <v>831882</v>
      </c>
      <c r="AM119" s="492">
        <f>J119+U119</f>
        <v>617123</v>
      </c>
      <c r="AN119" s="492">
        <f>Y119</f>
        <v>0</v>
      </c>
      <c r="AO119" s="492">
        <f t="shared" si="212"/>
        <v>208588</v>
      </c>
      <c r="AP119" s="492">
        <f t="shared" si="212"/>
        <v>6171</v>
      </c>
      <c r="AQ119" s="492">
        <f t="shared" si="212"/>
        <v>0</v>
      </c>
      <c r="AR119" s="626">
        <f>N119+AK119</f>
        <v>1.125</v>
      </c>
    </row>
    <row r="120" spans="1:44" ht="12.95" customHeight="1" x14ac:dyDescent="0.25">
      <c r="A120" s="144">
        <v>30</v>
      </c>
      <c r="B120" s="41">
        <v>5438</v>
      </c>
      <c r="C120" s="41">
        <v>600099032</v>
      </c>
      <c r="D120" s="41">
        <v>72742054</v>
      </c>
      <c r="E120" s="306" t="s">
        <v>494</v>
      </c>
      <c r="F120" s="307"/>
      <c r="G120" s="306"/>
      <c r="H120" s="308"/>
      <c r="I120" s="668">
        <f t="shared" ref="I120:AR120" si="213">SUM(I117:I119)</f>
        <v>4296440</v>
      </c>
      <c r="J120" s="573">
        <f t="shared" si="213"/>
        <v>3187270</v>
      </c>
      <c r="K120" s="368">
        <f t="shared" si="213"/>
        <v>1077297</v>
      </c>
      <c r="L120" s="368">
        <f t="shared" si="213"/>
        <v>31873</v>
      </c>
      <c r="M120" s="573">
        <f t="shared" si="213"/>
        <v>0</v>
      </c>
      <c r="N120" s="769">
        <f t="shared" si="213"/>
        <v>4.7839999999999998</v>
      </c>
      <c r="O120" s="673">
        <f t="shared" si="213"/>
        <v>0</v>
      </c>
      <c r="P120" s="467">
        <f t="shared" si="213"/>
        <v>0</v>
      </c>
      <c r="Q120" s="368">
        <f t="shared" si="213"/>
        <v>0</v>
      </c>
      <c r="R120" s="368">
        <f t="shared" si="213"/>
        <v>0</v>
      </c>
      <c r="S120" s="368">
        <f t="shared" si="213"/>
        <v>0</v>
      </c>
      <c r="T120" s="368">
        <f t="shared" si="213"/>
        <v>0</v>
      </c>
      <c r="U120" s="368">
        <f t="shared" si="213"/>
        <v>0</v>
      </c>
      <c r="V120" s="368">
        <f t="shared" si="213"/>
        <v>0</v>
      </c>
      <c r="W120" s="368">
        <f t="shared" si="213"/>
        <v>0</v>
      </c>
      <c r="X120" s="368">
        <f t="shared" si="213"/>
        <v>0</v>
      </c>
      <c r="Y120" s="368">
        <f t="shared" si="213"/>
        <v>0</v>
      </c>
      <c r="Z120" s="368">
        <f t="shared" si="213"/>
        <v>0</v>
      </c>
      <c r="AA120" s="368">
        <f t="shared" si="213"/>
        <v>0</v>
      </c>
      <c r="AB120" s="368">
        <f t="shared" si="213"/>
        <v>0</v>
      </c>
      <c r="AC120" s="368">
        <f t="shared" si="213"/>
        <v>0</v>
      </c>
      <c r="AD120" s="846">
        <f t="shared" si="213"/>
        <v>0</v>
      </c>
      <c r="AE120" s="854">
        <f t="shared" si="213"/>
        <v>0</v>
      </c>
      <c r="AF120" s="770">
        <f t="shared" si="213"/>
        <v>0</v>
      </c>
      <c r="AG120" s="770">
        <f t="shared" si="213"/>
        <v>0</v>
      </c>
      <c r="AH120" s="770">
        <f t="shared" si="213"/>
        <v>0</v>
      </c>
      <c r="AI120" s="369">
        <f t="shared" si="213"/>
        <v>0</v>
      </c>
      <c r="AJ120" s="369">
        <f t="shared" si="213"/>
        <v>0</v>
      </c>
      <c r="AK120" s="302">
        <f t="shared" si="213"/>
        <v>0</v>
      </c>
      <c r="AL120" s="673">
        <f t="shared" si="213"/>
        <v>4296440</v>
      </c>
      <c r="AM120" s="467">
        <f t="shared" si="213"/>
        <v>3187270</v>
      </c>
      <c r="AN120" s="368">
        <f t="shared" si="213"/>
        <v>0</v>
      </c>
      <c r="AO120" s="368">
        <f t="shared" si="213"/>
        <v>1077297</v>
      </c>
      <c r="AP120" s="368">
        <f t="shared" si="213"/>
        <v>31873</v>
      </c>
      <c r="AQ120" s="368">
        <f t="shared" si="213"/>
        <v>0</v>
      </c>
      <c r="AR120" s="302">
        <f t="shared" si="213"/>
        <v>4.7839999999999998</v>
      </c>
    </row>
    <row r="121" spans="1:44" ht="12.95" customHeight="1" x14ac:dyDescent="0.25">
      <c r="A121" s="205">
        <v>31</v>
      </c>
      <c r="B121" s="143">
        <v>2441</v>
      </c>
      <c r="C121" s="143">
        <v>600079406</v>
      </c>
      <c r="D121" s="206">
        <v>70695920</v>
      </c>
      <c r="E121" s="295" t="s">
        <v>495</v>
      </c>
      <c r="F121" s="143">
        <v>3111</v>
      </c>
      <c r="G121" s="296" t="s">
        <v>290</v>
      </c>
      <c r="H121" s="210" t="s">
        <v>262</v>
      </c>
      <c r="I121" s="586">
        <f t="shared" si="129"/>
        <v>3230519</v>
      </c>
      <c r="J121" s="490">
        <v>2396528</v>
      </c>
      <c r="K121" s="55">
        <f t="shared" si="130"/>
        <v>810026</v>
      </c>
      <c r="L121" s="55">
        <f t="shared" si="131"/>
        <v>23965</v>
      </c>
      <c r="M121" s="490">
        <v>0</v>
      </c>
      <c r="N121" s="752">
        <v>3.871</v>
      </c>
      <c r="O121" s="555">
        <f>V121*-1</f>
        <v>0</v>
      </c>
      <c r="P121" s="578">
        <v>0</v>
      </c>
      <c r="Q121" s="325">
        <v>0</v>
      </c>
      <c r="R121" s="325">
        <v>0</v>
      </c>
      <c r="S121" s="325">
        <v>0</v>
      </c>
      <c r="T121" s="325">
        <v>0</v>
      </c>
      <c r="U121" s="492">
        <f>O121+P121+Q121+R121+S121+T121</f>
        <v>0</v>
      </c>
      <c r="V121" s="325">
        <v>0</v>
      </c>
      <c r="W121" s="325">
        <v>0</v>
      </c>
      <c r="X121" s="325">
        <v>0</v>
      </c>
      <c r="Y121" s="492">
        <f>V121+W121+X121</f>
        <v>0</v>
      </c>
      <c r="Z121" s="492">
        <f>U121+Y121</f>
        <v>0</v>
      </c>
      <c r="AA121" s="494">
        <f>ROUND((U121+Y121)*33.8%,0)</f>
        <v>0</v>
      </c>
      <c r="AB121" s="494">
        <f t="shared" ref="AB121" si="214">ROUND(U121*1%,0)</f>
        <v>0</v>
      </c>
      <c r="AC121" s="492">
        <v>0</v>
      </c>
      <c r="AD121" s="789">
        <f t="shared" ref="AD121" si="215">Z121+AA121+AB121+AC121</f>
        <v>0</v>
      </c>
      <c r="AE121" s="851">
        <v>0</v>
      </c>
      <c r="AF121" s="764">
        <v>0</v>
      </c>
      <c r="AG121" s="763">
        <v>0</v>
      </c>
      <c r="AH121" s="763">
        <v>0</v>
      </c>
      <c r="AI121" s="326">
        <v>0</v>
      </c>
      <c r="AJ121" s="326">
        <v>0</v>
      </c>
      <c r="AK121" s="626">
        <f>SUM(AE121:AJ121)</f>
        <v>0</v>
      </c>
      <c r="AL121" s="696">
        <f>I121+AD121</f>
        <v>3230519</v>
      </c>
      <c r="AM121" s="492">
        <f>J121+U121</f>
        <v>2396528</v>
      </c>
      <c r="AN121" s="492">
        <f>Y121</f>
        <v>0</v>
      </c>
      <c r="AO121" s="492">
        <f>K121+AA121</f>
        <v>810026</v>
      </c>
      <c r="AP121" s="492">
        <f>L121+AB121</f>
        <v>23965</v>
      </c>
      <c r="AQ121" s="492">
        <f>M121+AC121</f>
        <v>0</v>
      </c>
      <c r="AR121" s="626">
        <f>N121+AK121</f>
        <v>3.871</v>
      </c>
    </row>
    <row r="122" spans="1:44" ht="12.95" customHeight="1" x14ac:dyDescent="0.25">
      <c r="A122" s="144">
        <v>31</v>
      </c>
      <c r="B122" s="42">
        <v>2441</v>
      </c>
      <c r="C122" s="42">
        <v>600079406</v>
      </c>
      <c r="D122" s="42">
        <v>70695920</v>
      </c>
      <c r="E122" s="297" t="s">
        <v>496</v>
      </c>
      <c r="F122" s="44"/>
      <c r="G122" s="310"/>
      <c r="H122" s="131"/>
      <c r="I122" s="668">
        <f t="shared" ref="I122:AR122" si="216">SUM(I121:I121)</f>
        <v>3230519</v>
      </c>
      <c r="J122" s="573">
        <f t="shared" si="216"/>
        <v>2396528</v>
      </c>
      <c r="K122" s="368">
        <f t="shared" si="216"/>
        <v>810026</v>
      </c>
      <c r="L122" s="368">
        <f t="shared" si="216"/>
        <v>23965</v>
      </c>
      <c r="M122" s="573">
        <f t="shared" si="216"/>
        <v>0</v>
      </c>
      <c r="N122" s="769">
        <f t="shared" si="216"/>
        <v>3.871</v>
      </c>
      <c r="O122" s="673">
        <f t="shared" si="216"/>
        <v>0</v>
      </c>
      <c r="P122" s="467">
        <f t="shared" si="216"/>
        <v>0</v>
      </c>
      <c r="Q122" s="368">
        <f t="shared" si="216"/>
        <v>0</v>
      </c>
      <c r="R122" s="368">
        <f t="shared" si="216"/>
        <v>0</v>
      </c>
      <c r="S122" s="368">
        <f t="shared" si="216"/>
        <v>0</v>
      </c>
      <c r="T122" s="368">
        <f t="shared" si="216"/>
        <v>0</v>
      </c>
      <c r="U122" s="368">
        <f t="shared" si="216"/>
        <v>0</v>
      </c>
      <c r="V122" s="368">
        <f t="shared" si="216"/>
        <v>0</v>
      </c>
      <c r="W122" s="368">
        <f t="shared" si="216"/>
        <v>0</v>
      </c>
      <c r="X122" s="368">
        <f t="shared" si="216"/>
        <v>0</v>
      </c>
      <c r="Y122" s="368">
        <f t="shared" si="216"/>
        <v>0</v>
      </c>
      <c r="Z122" s="368">
        <f t="shared" si="216"/>
        <v>0</v>
      </c>
      <c r="AA122" s="368">
        <f t="shared" si="216"/>
        <v>0</v>
      </c>
      <c r="AB122" s="368">
        <f t="shared" si="216"/>
        <v>0</v>
      </c>
      <c r="AC122" s="368">
        <f t="shared" si="216"/>
        <v>0</v>
      </c>
      <c r="AD122" s="846">
        <f t="shared" si="216"/>
        <v>0</v>
      </c>
      <c r="AE122" s="854">
        <f t="shared" si="216"/>
        <v>0</v>
      </c>
      <c r="AF122" s="770">
        <f t="shared" si="216"/>
        <v>0</v>
      </c>
      <c r="AG122" s="770">
        <f t="shared" si="216"/>
        <v>0</v>
      </c>
      <c r="AH122" s="770">
        <f t="shared" si="216"/>
        <v>0</v>
      </c>
      <c r="AI122" s="369">
        <f t="shared" si="216"/>
        <v>0</v>
      </c>
      <c r="AJ122" s="369">
        <f t="shared" si="216"/>
        <v>0</v>
      </c>
      <c r="AK122" s="302">
        <f t="shared" si="216"/>
        <v>0</v>
      </c>
      <c r="AL122" s="673">
        <f t="shared" si="216"/>
        <v>3230519</v>
      </c>
      <c r="AM122" s="467">
        <f t="shared" si="216"/>
        <v>2396528</v>
      </c>
      <c r="AN122" s="368">
        <f t="shared" si="216"/>
        <v>0</v>
      </c>
      <c r="AO122" s="368">
        <f t="shared" si="216"/>
        <v>810026</v>
      </c>
      <c r="AP122" s="368">
        <f t="shared" si="216"/>
        <v>23965</v>
      </c>
      <c r="AQ122" s="368">
        <f t="shared" si="216"/>
        <v>0</v>
      </c>
      <c r="AR122" s="302">
        <f t="shared" si="216"/>
        <v>3.871</v>
      </c>
    </row>
    <row r="123" spans="1:44" ht="12.95" customHeight="1" x14ac:dyDescent="0.25">
      <c r="A123" s="205">
        <v>32</v>
      </c>
      <c r="B123" s="143">
        <v>2496</v>
      </c>
      <c r="C123" s="143">
        <v>600080251</v>
      </c>
      <c r="D123" s="206">
        <v>70695938</v>
      </c>
      <c r="E123" s="295" t="s">
        <v>497</v>
      </c>
      <c r="F123" s="143">
        <v>3117</v>
      </c>
      <c r="G123" s="295" t="s">
        <v>294</v>
      </c>
      <c r="H123" s="210" t="s">
        <v>262</v>
      </c>
      <c r="I123" s="586">
        <f t="shared" si="129"/>
        <v>5792326</v>
      </c>
      <c r="J123" s="490">
        <v>4296978</v>
      </c>
      <c r="K123" s="55">
        <f>ROUND(J123*33.8%,0)-1</f>
        <v>1452378</v>
      </c>
      <c r="L123" s="55">
        <f t="shared" si="131"/>
        <v>42970</v>
      </c>
      <c r="M123" s="490">
        <v>0</v>
      </c>
      <c r="N123" s="752">
        <v>6</v>
      </c>
      <c r="O123" s="555">
        <f>V123*-1</f>
        <v>0</v>
      </c>
      <c r="P123" s="578">
        <v>0</v>
      </c>
      <c r="Q123" s="325">
        <v>0</v>
      </c>
      <c r="R123" s="325">
        <v>0</v>
      </c>
      <c r="S123" s="325">
        <v>0</v>
      </c>
      <c r="T123" s="325">
        <v>0</v>
      </c>
      <c r="U123" s="492">
        <f>O123+P123+Q123+R123+S123+T123</f>
        <v>0</v>
      </c>
      <c r="V123" s="325">
        <v>0</v>
      </c>
      <c r="W123" s="325">
        <v>0</v>
      </c>
      <c r="X123" s="325">
        <v>0</v>
      </c>
      <c r="Y123" s="492">
        <f t="shared" ref="Y123:Y125" si="217">V123+W123+X123</f>
        <v>0</v>
      </c>
      <c r="Z123" s="492">
        <f t="shared" ref="Z123:Z125" si="218">U123+Y123</f>
        <v>0</v>
      </c>
      <c r="AA123" s="494">
        <f t="shared" ref="AA123:AA125" si="219">ROUND((U123+Y123)*33.8%,0)</f>
        <v>0</v>
      </c>
      <c r="AB123" s="494">
        <f t="shared" ref="AB123:AB125" si="220">ROUND(U123*1%,0)</f>
        <v>0</v>
      </c>
      <c r="AC123" s="492">
        <v>0</v>
      </c>
      <c r="AD123" s="789">
        <f t="shared" ref="AD123:AD125" si="221">Z123+AA123+AB123+AC123</f>
        <v>0</v>
      </c>
      <c r="AE123" s="851">
        <v>0</v>
      </c>
      <c r="AF123" s="764">
        <v>0</v>
      </c>
      <c r="AG123" s="763">
        <v>0</v>
      </c>
      <c r="AH123" s="763">
        <v>0</v>
      </c>
      <c r="AI123" s="326">
        <v>0</v>
      </c>
      <c r="AJ123" s="326">
        <v>0</v>
      </c>
      <c r="AK123" s="626">
        <f>SUM(AE123:AJ123)</f>
        <v>0</v>
      </c>
      <c r="AL123" s="696">
        <f>I123+AD123</f>
        <v>5792326</v>
      </c>
      <c r="AM123" s="492">
        <f>J123+U123</f>
        <v>4296978</v>
      </c>
      <c r="AN123" s="492">
        <f>Y123</f>
        <v>0</v>
      </c>
      <c r="AO123" s="492">
        <f t="shared" ref="AO123:AQ125" si="222">K123+AA123</f>
        <v>1452378</v>
      </c>
      <c r="AP123" s="492">
        <f t="shared" si="222"/>
        <v>42970</v>
      </c>
      <c r="AQ123" s="492">
        <f t="shared" si="222"/>
        <v>0</v>
      </c>
      <c r="AR123" s="626">
        <f>N123+AK123</f>
        <v>6</v>
      </c>
    </row>
    <row r="124" spans="1:44" ht="12.95" customHeight="1" x14ac:dyDescent="0.25">
      <c r="A124" s="205">
        <v>32</v>
      </c>
      <c r="B124" s="143">
        <v>2496</v>
      </c>
      <c r="C124" s="143">
        <v>600080251</v>
      </c>
      <c r="D124" s="206">
        <v>70695938</v>
      </c>
      <c r="E124" s="295" t="s">
        <v>497</v>
      </c>
      <c r="F124" s="143">
        <v>3117</v>
      </c>
      <c r="G124" s="248" t="s">
        <v>278</v>
      </c>
      <c r="H124" s="210" t="s">
        <v>263</v>
      </c>
      <c r="I124" s="586">
        <f t="shared" si="129"/>
        <v>0</v>
      </c>
      <c r="J124" s="490">
        <v>0</v>
      </c>
      <c r="K124" s="55">
        <f t="shared" si="130"/>
        <v>0</v>
      </c>
      <c r="L124" s="55">
        <f t="shared" si="131"/>
        <v>0</v>
      </c>
      <c r="M124" s="490">
        <v>0</v>
      </c>
      <c r="N124" s="752">
        <v>0</v>
      </c>
      <c r="O124" s="327">
        <f>V124*-1</f>
        <v>0</v>
      </c>
      <c r="P124" s="578">
        <v>0</v>
      </c>
      <c r="Q124" s="325">
        <v>0</v>
      </c>
      <c r="R124" s="325">
        <v>0</v>
      </c>
      <c r="S124" s="325">
        <v>0</v>
      </c>
      <c r="T124" s="325">
        <v>0</v>
      </c>
      <c r="U124" s="492">
        <f>O124+P124+Q124+R124+S124+T124</f>
        <v>0</v>
      </c>
      <c r="V124" s="325">
        <v>0</v>
      </c>
      <c r="W124" s="325">
        <v>0</v>
      </c>
      <c r="X124" s="325">
        <v>0</v>
      </c>
      <c r="Y124" s="492">
        <f t="shared" si="217"/>
        <v>0</v>
      </c>
      <c r="Z124" s="492">
        <f t="shared" si="218"/>
        <v>0</v>
      </c>
      <c r="AA124" s="494">
        <f t="shared" si="219"/>
        <v>0</v>
      </c>
      <c r="AB124" s="494">
        <f t="shared" si="220"/>
        <v>0</v>
      </c>
      <c r="AC124" s="492">
        <v>0</v>
      </c>
      <c r="AD124" s="789">
        <f t="shared" si="221"/>
        <v>0</v>
      </c>
      <c r="AE124" s="851">
        <v>0</v>
      </c>
      <c r="AF124" s="764">
        <v>0</v>
      </c>
      <c r="AG124" s="763">
        <v>0</v>
      </c>
      <c r="AH124" s="763">
        <v>0</v>
      </c>
      <c r="AI124" s="326">
        <v>0</v>
      </c>
      <c r="AJ124" s="326">
        <v>0</v>
      </c>
      <c r="AK124" s="626">
        <f>SUM(AE124:AJ124)</f>
        <v>0</v>
      </c>
      <c r="AL124" s="696">
        <f>I124+AD124</f>
        <v>0</v>
      </c>
      <c r="AM124" s="492">
        <f>J124+U124</f>
        <v>0</v>
      </c>
      <c r="AN124" s="492">
        <f>Y124</f>
        <v>0</v>
      </c>
      <c r="AO124" s="492">
        <f t="shared" si="222"/>
        <v>0</v>
      </c>
      <c r="AP124" s="492">
        <f t="shared" si="222"/>
        <v>0</v>
      </c>
      <c r="AQ124" s="492">
        <f t="shared" si="222"/>
        <v>0</v>
      </c>
      <c r="AR124" s="626">
        <f>N124+AK124</f>
        <v>0</v>
      </c>
    </row>
    <row r="125" spans="1:44" ht="12.95" customHeight="1" x14ac:dyDescent="0.25">
      <c r="A125" s="205">
        <v>32</v>
      </c>
      <c r="B125" s="143">
        <v>2496</v>
      </c>
      <c r="C125" s="143">
        <v>600080251</v>
      </c>
      <c r="D125" s="206">
        <v>70695938</v>
      </c>
      <c r="E125" s="295" t="s">
        <v>497</v>
      </c>
      <c r="F125" s="143">
        <v>3143</v>
      </c>
      <c r="G125" s="248" t="s">
        <v>794</v>
      </c>
      <c r="H125" s="210" t="s">
        <v>262</v>
      </c>
      <c r="I125" s="586">
        <f t="shared" si="129"/>
        <v>1373487</v>
      </c>
      <c r="J125" s="490">
        <v>1018907</v>
      </c>
      <c r="K125" s="55">
        <f t="shared" si="130"/>
        <v>344391</v>
      </c>
      <c r="L125" s="55">
        <f t="shared" si="131"/>
        <v>10189</v>
      </c>
      <c r="M125" s="490">
        <v>0</v>
      </c>
      <c r="N125" s="752">
        <v>1.8</v>
      </c>
      <c r="O125" s="327">
        <f>V125*-1</f>
        <v>-1800</v>
      </c>
      <c r="P125" s="578">
        <v>0</v>
      </c>
      <c r="Q125" s="325">
        <v>0</v>
      </c>
      <c r="R125" s="325">
        <v>0</v>
      </c>
      <c r="S125" s="325">
        <v>0</v>
      </c>
      <c r="T125" s="325">
        <v>0</v>
      </c>
      <c r="U125" s="492">
        <f>O125+P125+Q125+R125+S125+T125</f>
        <v>-1800</v>
      </c>
      <c r="V125" s="325">
        <v>1800</v>
      </c>
      <c r="W125" s="325">
        <v>0</v>
      </c>
      <c r="X125" s="325">
        <v>0</v>
      </c>
      <c r="Y125" s="492">
        <f t="shared" si="217"/>
        <v>1800</v>
      </c>
      <c r="Z125" s="492">
        <f t="shared" si="218"/>
        <v>0</v>
      </c>
      <c r="AA125" s="494">
        <f t="shared" si="219"/>
        <v>0</v>
      </c>
      <c r="AB125" s="494">
        <f t="shared" si="220"/>
        <v>-18</v>
      </c>
      <c r="AC125" s="492">
        <v>0</v>
      </c>
      <c r="AD125" s="789">
        <f t="shared" si="221"/>
        <v>-18</v>
      </c>
      <c r="AE125" s="851">
        <v>0</v>
      </c>
      <c r="AF125" s="764">
        <v>0</v>
      </c>
      <c r="AG125" s="763">
        <v>0</v>
      </c>
      <c r="AH125" s="763">
        <v>0</v>
      </c>
      <c r="AI125" s="326">
        <v>0</v>
      </c>
      <c r="AJ125" s="326">
        <v>0</v>
      </c>
      <c r="AK125" s="626">
        <f>SUM(AE125:AJ125)</f>
        <v>0</v>
      </c>
      <c r="AL125" s="696">
        <f>I125+AD125</f>
        <v>1373469</v>
      </c>
      <c r="AM125" s="492">
        <f>J125+U125</f>
        <v>1017107</v>
      </c>
      <c r="AN125" s="492">
        <f>Y125</f>
        <v>1800</v>
      </c>
      <c r="AO125" s="492">
        <f t="shared" si="222"/>
        <v>344391</v>
      </c>
      <c r="AP125" s="492">
        <f t="shared" si="222"/>
        <v>10171</v>
      </c>
      <c r="AQ125" s="492">
        <f t="shared" si="222"/>
        <v>0</v>
      </c>
      <c r="AR125" s="626">
        <f>N125+AK125</f>
        <v>1.8</v>
      </c>
    </row>
    <row r="126" spans="1:44" ht="12.95" customHeight="1" x14ac:dyDescent="0.25">
      <c r="A126" s="144">
        <v>32</v>
      </c>
      <c r="B126" s="41">
        <v>2496</v>
      </c>
      <c r="C126" s="41">
        <v>600080251</v>
      </c>
      <c r="D126" s="41">
        <v>70695938</v>
      </c>
      <c r="E126" s="297" t="s">
        <v>498</v>
      </c>
      <c r="F126" s="41"/>
      <c r="G126" s="297"/>
      <c r="H126" s="128"/>
      <c r="I126" s="668">
        <f t="shared" ref="I126:AR126" si="223">SUM(I123:I125)</f>
        <v>7165813</v>
      </c>
      <c r="J126" s="573">
        <f t="shared" si="223"/>
        <v>5315885</v>
      </c>
      <c r="K126" s="368">
        <f t="shared" si="223"/>
        <v>1796769</v>
      </c>
      <c r="L126" s="368">
        <f t="shared" si="223"/>
        <v>53159</v>
      </c>
      <c r="M126" s="573">
        <f t="shared" si="223"/>
        <v>0</v>
      </c>
      <c r="N126" s="769">
        <f t="shared" si="223"/>
        <v>7.8</v>
      </c>
      <c r="O126" s="673">
        <f t="shared" si="223"/>
        <v>-1800</v>
      </c>
      <c r="P126" s="467">
        <f t="shared" si="223"/>
        <v>0</v>
      </c>
      <c r="Q126" s="368">
        <f t="shared" si="223"/>
        <v>0</v>
      </c>
      <c r="R126" s="368">
        <f t="shared" si="223"/>
        <v>0</v>
      </c>
      <c r="S126" s="368">
        <f t="shared" si="223"/>
        <v>0</v>
      </c>
      <c r="T126" s="368">
        <f t="shared" si="223"/>
        <v>0</v>
      </c>
      <c r="U126" s="368">
        <f t="shared" si="223"/>
        <v>-1800</v>
      </c>
      <c r="V126" s="368">
        <f t="shared" si="223"/>
        <v>1800</v>
      </c>
      <c r="W126" s="368">
        <f t="shared" si="223"/>
        <v>0</v>
      </c>
      <c r="X126" s="368">
        <f t="shared" si="223"/>
        <v>0</v>
      </c>
      <c r="Y126" s="368">
        <f t="shared" si="223"/>
        <v>1800</v>
      </c>
      <c r="Z126" s="368">
        <f t="shared" si="223"/>
        <v>0</v>
      </c>
      <c r="AA126" s="368">
        <f t="shared" si="223"/>
        <v>0</v>
      </c>
      <c r="AB126" s="368">
        <f t="shared" si="223"/>
        <v>-18</v>
      </c>
      <c r="AC126" s="368">
        <f t="shared" si="223"/>
        <v>0</v>
      </c>
      <c r="AD126" s="846">
        <f t="shared" si="223"/>
        <v>-18</v>
      </c>
      <c r="AE126" s="854">
        <f t="shared" si="223"/>
        <v>0</v>
      </c>
      <c r="AF126" s="770">
        <f t="shared" si="223"/>
        <v>0</v>
      </c>
      <c r="AG126" s="770">
        <f t="shared" si="223"/>
        <v>0</v>
      </c>
      <c r="AH126" s="770">
        <f t="shared" si="223"/>
        <v>0</v>
      </c>
      <c r="AI126" s="369">
        <f t="shared" si="223"/>
        <v>0</v>
      </c>
      <c r="AJ126" s="369">
        <f t="shared" si="223"/>
        <v>0</v>
      </c>
      <c r="AK126" s="302">
        <f t="shared" si="223"/>
        <v>0</v>
      </c>
      <c r="AL126" s="673">
        <f t="shared" si="223"/>
        <v>7165795</v>
      </c>
      <c r="AM126" s="467">
        <f t="shared" si="223"/>
        <v>5314085</v>
      </c>
      <c r="AN126" s="368">
        <f t="shared" si="223"/>
        <v>1800</v>
      </c>
      <c r="AO126" s="368">
        <f t="shared" si="223"/>
        <v>1796769</v>
      </c>
      <c r="AP126" s="368">
        <f t="shared" si="223"/>
        <v>53141</v>
      </c>
      <c r="AQ126" s="368">
        <f t="shared" si="223"/>
        <v>0</v>
      </c>
      <c r="AR126" s="302">
        <f t="shared" si="223"/>
        <v>7.8</v>
      </c>
    </row>
    <row r="127" spans="1:44" ht="12.95" customHeight="1" x14ac:dyDescent="0.25">
      <c r="A127" s="205">
        <v>33</v>
      </c>
      <c r="B127" s="143">
        <v>5440</v>
      </c>
      <c r="C127" s="143">
        <v>600098559</v>
      </c>
      <c r="D127" s="206">
        <v>70998108</v>
      </c>
      <c r="E127" s="295" t="s">
        <v>499</v>
      </c>
      <c r="F127" s="143">
        <v>3111</v>
      </c>
      <c r="G127" s="296" t="s">
        <v>290</v>
      </c>
      <c r="H127" s="210" t="s">
        <v>262</v>
      </c>
      <c r="I127" s="586">
        <f t="shared" si="129"/>
        <v>4433384</v>
      </c>
      <c r="J127" s="490">
        <v>3288860</v>
      </c>
      <c r="K127" s="55">
        <f t="shared" si="130"/>
        <v>1111635</v>
      </c>
      <c r="L127" s="55">
        <f t="shared" si="131"/>
        <v>32889</v>
      </c>
      <c r="M127" s="490">
        <v>0</v>
      </c>
      <c r="N127" s="752">
        <v>6</v>
      </c>
      <c r="O127" s="555">
        <f>V127*-1</f>
        <v>0</v>
      </c>
      <c r="P127" s="578">
        <v>0</v>
      </c>
      <c r="Q127" s="325">
        <v>0</v>
      </c>
      <c r="R127" s="325">
        <v>0</v>
      </c>
      <c r="S127" s="325">
        <v>0</v>
      </c>
      <c r="T127" s="325">
        <v>0</v>
      </c>
      <c r="U127" s="492">
        <f>O127+P127+Q127+R127+S127+T127</f>
        <v>0</v>
      </c>
      <c r="V127" s="325">
        <v>0</v>
      </c>
      <c r="W127" s="325">
        <v>0</v>
      </c>
      <c r="X127" s="325">
        <v>0</v>
      </c>
      <c r="Y127" s="492">
        <f t="shared" ref="Y127:Y128" si="224">V127+W127+X127</f>
        <v>0</v>
      </c>
      <c r="Z127" s="492">
        <f t="shared" ref="Z127:Z128" si="225">U127+Y127</f>
        <v>0</v>
      </c>
      <c r="AA127" s="494">
        <f t="shared" ref="AA127:AA128" si="226">ROUND((U127+Y127)*33.8%,0)</f>
        <v>0</v>
      </c>
      <c r="AB127" s="494">
        <f t="shared" ref="AB127:AB128" si="227">ROUND(U127*1%,0)</f>
        <v>0</v>
      </c>
      <c r="AC127" s="492">
        <v>0</v>
      </c>
      <c r="AD127" s="789">
        <f t="shared" ref="AD127:AD128" si="228">Z127+AA127+AB127+AC127</f>
        <v>0</v>
      </c>
      <c r="AE127" s="851">
        <v>0</v>
      </c>
      <c r="AF127" s="764">
        <v>0</v>
      </c>
      <c r="AG127" s="763">
        <v>0</v>
      </c>
      <c r="AH127" s="763">
        <v>0</v>
      </c>
      <c r="AI127" s="326">
        <v>0</v>
      </c>
      <c r="AJ127" s="326">
        <v>0</v>
      </c>
      <c r="AK127" s="626">
        <f>SUM(AE127:AJ127)</f>
        <v>0</v>
      </c>
      <c r="AL127" s="696">
        <f>I127+AD127</f>
        <v>4433384</v>
      </c>
      <c r="AM127" s="492">
        <f>J127+U127</f>
        <v>3288860</v>
      </c>
      <c r="AN127" s="492">
        <f>Y127</f>
        <v>0</v>
      </c>
      <c r="AO127" s="492">
        <f t="shared" ref="AO127:AQ128" si="229">K127+AA127</f>
        <v>1111635</v>
      </c>
      <c r="AP127" s="492">
        <f t="shared" si="229"/>
        <v>32889</v>
      </c>
      <c r="AQ127" s="492">
        <f t="shared" si="229"/>
        <v>0</v>
      </c>
      <c r="AR127" s="626">
        <f>N127+AK127</f>
        <v>6</v>
      </c>
    </row>
    <row r="128" spans="1:44" ht="12.95" customHeight="1" x14ac:dyDescent="0.25">
      <c r="A128" s="205">
        <v>33</v>
      </c>
      <c r="B128" s="143">
        <v>5440</v>
      </c>
      <c r="C128" s="143">
        <v>600098559</v>
      </c>
      <c r="D128" s="206">
        <v>70998108</v>
      </c>
      <c r="E128" s="295" t="s">
        <v>499</v>
      </c>
      <c r="F128" s="143">
        <v>3111</v>
      </c>
      <c r="G128" s="296" t="s">
        <v>278</v>
      </c>
      <c r="H128" s="210" t="s">
        <v>263</v>
      </c>
      <c r="I128" s="586">
        <f t="shared" si="129"/>
        <v>0</v>
      </c>
      <c r="J128" s="490">
        <v>0</v>
      </c>
      <c r="K128" s="55">
        <f t="shared" si="130"/>
        <v>0</v>
      </c>
      <c r="L128" s="55">
        <f t="shared" si="131"/>
        <v>0</v>
      </c>
      <c r="M128" s="490">
        <v>0</v>
      </c>
      <c r="N128" s="752">
        <v>0</v>
      </c>
      <c r="O128" s="327">
        <f>V128*-1</f>
        <v>0</v>
      </c>
      <c r="P128" s="578">
        <v>0</v>
      </c>
      <c r="Q128" s="325">
        <v>0</v>
      </c>
      <c r="R128" s="325">
        <v>0</v>
      </c>
      <c r="S128" s="325">
        <v>0</v>
      </c>
      <c r="T128" s="325">
        <v>0</v>
      </c>
      <c r="U128" s="492">
        <f>O128+P128+Q128+R128+S128+T128</f>
        <v>0</v>
      </c>
      <c r="V128" s="325">
        <v>0</v>
      </c>
      <c r="W128" s="325">
        <v>0</v>
      </c>
      <c r="X128" s="325">
        <v>0</v>
      </c>
      <c r="Y128" s="492">
        <f t="shared" si="224"/>
        <v>0</v>
      </c>
      <c r="Z128" s="492">
        <f t="shared" si="225"/>
        <v>0</v>
      </c>
      <c r="AA128" s="494">
        <f t="shared" si="226"/>
        <v>0</v>
      </c>
      <c r="AB128" s="494">
        <f t="shared" si="227"/>
        <v>0</v>
      </c>
      <c r="AC128" s="492">
        <v>0</v>
      </c>
      <c r="AD128" s="789">
        <f t="shared" si="228"/>
        <v>0</v>
      </c>
      <c r="AE128" s="851">
        <v>0</v>
      </c>
      <c r="AF128" s="764">
        <v>0</v>
      </c>
      <c r="AG128" s="763">
        <v>0</v>
      </c>
      <c r="AH128" s="763">
        <v>0</v>
      </c>
      <c r="AI128" s="326">
        <v>0</v>
      </c>
      <c r="AJ128" s="326">
        <v>0</v>
      </c>
      <c r="AK128" s="626">
        <f>SUM(AE128:AJ128)</f>
        <v>0</v>
      </c>
      <c r="AL128" s="696">
        <f>I128+AD128</f>
        <v>0</v>
      </c>
      <c r="AM128" s="492">
        <f>J128+U128</f>
        <v>0</v>
      </c>
      <c r="AN128" s="492">
        <f>Y128</f>
        <v>0</v>
      </c>
      <c r="AO128" s="492">
        <f t="shared" si="229"/>
        <v>0</v>
      </c>
      <c r="AP128" s="492">
        <f t="shared" si="229"/>
        <v>0</v>
      </c>
      <c r="AQ128" s="492">
        <f t="shared" si="229"/>
        <v>0</v>
      </c>
      <c r="AR128" s="626">
        <f>N128+AK128</f>
        <v>0</v>
      </c>
    </row>
    <row r="129" spans="1:44" ht="12.95" customHeight="1" x14ac:dyDescent="0.25">
      <c r="A129" s="144">
        <v>33</v>
      </c>
      <c r="B129" s="42">
        <v>5440</v>
      </c>
      <c r="C129" s="42">
        <v>600098559</v>
      </c>
      <c r="D129" s="42">
        <v>70998108</v>
      </c>
      <c r="E129" s="297" t="s">
        <v>500</v>
      </c>
      <c r="F129" s="41"/>
      <c r="G129" s="297"/>
      <c r="H129" s="128"/>
      <c r="I129" s="666">
        <f t="shared" ref="I129:AR129" si="230">SUM(I127:I128)</f>
        <v>4433384</v>
      </c>
      <c r="J129" s="571">
        <f t="shared" si="230"/>
        <v>3288860</v>
      </c>
      <c r="K129" s="366">
        <f t="shared" si="230"/>
        <v>1111635</v>
      </c>
      <c r="L129" s="366">
        <f t="shared" si="230"/>
        <v>32889</v>
      </c>
      <c r="M129" s="571">
        <f t="shared" si="230"/>
        <v>0</v>
      </c>
      <c r="N129" s="765">
        <f t="shared" si="230"/>
        <v>6</v>
      </c>
      <c r="O129" s="671">
        <f t="shared" si="230"/>
        <v>0</v>
      </c>
      <c r="P129" s="465">
        <f t="shared" si="230"/>
        <v>0</v>
      </c>
      <c r="Q129" s="366">
        <f t="shared" si="230"/>
        <v>0</v>
      </c>
      <c r="R129" s="366">
        <f t="shared" si="230"/>
        <v>0</v>
      </c>
      <c r="S129" s="366">
        <f t="shared" si="230"/>
        <v>0</v>
      </c>
      <c r="T129" s="366">
        <f t="shared" si="230"/>
        <v>0</v>
      </c>
      <c r="U129" s="366">
        <f t="shared" si="230"/>
        <v>0</v>
      </c>
      <c r="V129" s="366">
        <f t="shared" si="230"/>
        <v>0</v>
      </c>
      <c r="W129" s="366">
        <f t="shared" si="230"/>
        <v>0</v>
      </c>
      <c r="X129" s="366">
        <f t="shared" si="230"/>
        <v>0</v>
      </c>
      <c r="Y129" s="366">
        <f t="shared" si="230"/>
        <v>0</v>
      </c>
      <c r="Z129" s="366">
        <f t="shared" si="230"/>
        <v>0</v>
      </c>
      <c r="AA129" s="366">
        <f t="shared" si="230"/>
        <v>0</v>
      </c>
      <c r="AB129" s="366">
        <f t="shared" si="230"/>
        <v>0</v>
      </c>
      <c r="AC129" s="366">
        <f t="shared" si="230"/>
        <v>0</v>
      </c>
      <c r="AD129" s="844">
        <f t="shared" si="230"/>
        <v>0</v>
      </c>
      <c r="AE129" s="852">
        <f t="shared" si="230"/>
        <v>0</v>
      </c>
      <c r="AF129" s="766">
        <f t="shared" si="230"/>
        <v>0</v>
      </c>
      <c r="AG129" s="766">
        <f t="shared" si="230"/>
        <v>0</v>
      </c>
      <c r="AH129" s="766">
        <f t="shared" si="230"/>
        <v>0</v>
      </c>
      <c r="AI129" s="367">
        <f t="shared" si="230"/>
        <v>0</v>
      </c>
      <c r="AJ129" s="367">
        <f t="shared" si="230"/>
        <v>0</v>
      </c>
      <c r="AK129" s="298">
        <f t="shared" si="230"/>
        <v>0</v>
      </c>
      <c r="AL129" s="671">
        <f t="shared" si="230"/>
        <v>4433384</v>
      </c>
      <c r="AM129" s="465">
        <f t="shared" si="230"/>
        <v>3288860</v>
      </c>
      <c r="AN129" s="366">
        <f t="shared" si="230"/>
        <v>0</v>
      </c>
      <c r="AO129" s="366">
        <f t="shared" si="230"/>
        <v>1111635</v>
      </c>
      <c r="AP129" s="366">
        <f t="shared" si="230"/>
        <v>32889</v>
      </c>
      <c r="AQ129" s="366">
        <f t="shared" si="230"/>
        <v>0</v>
      </c>
      <c r="AR129" s="298">
        <f t="shared" si="230"/>
        <v>6</v>
      </c>
    </row>
    <row r="130" spans="1:44" ht="12.95" customHeight="1" x14ac:dyDescent="0.25">
      <c r="A130" s="205">
        <v>34</v>
      </c>
      <c r="B130" s="143">
        <v>5441</v>
      </c>
      <c r="C130" s="143">
        <v>600099270</v>
      </c>
      <c r="D130" s="206">
        <v>856118</v>
      </c>
      <c r="E130" s="295" t="s">
        <v>501</v>
      </c>
      <c r="F130" s="143">
        <v>3113</v>
      </c>
      <c r="G130" s="295" t="s">
        <v>294</v>
      </c>
      <c r="H130" s="210" t="s">
        <v>262</v>
      </c>
      <c r="I130" s="586">
        <f t="shared" si="129"/>
        <v>12772847</v>
      </c>
      <c r="J130" s="490">
        <v>9475406</v>
      </c>
      <c r="K130" s="55">
        <f t="shared" si="130"/>
        <v>3202687</v>
      </c>
      <c r="L130" s="55">
        <f t="shared" si="131"/>
        <v>94754</v>
      </c>
      <c r="M130" s="490">
        <v>0</v>
      </c>
      <c r="N130" s="752">
        <v>13.2277</v>
      </c>
      <c r="O130" s="555">
        <f>V130*-1</f>
        <v>-45600</v>
      </c>
      <c r="P130" s="578">
        <v>0</v>
      </c>
      <c r="Q130" s="325">
        <v>86875</v>
      </c>
      <c r="R130" s="325">
        <v>0</v>
      </c>
      <c r="S130" s="325">
        <v>0</v>
      </c>
      <c r="T130" s="325">
        <v>0</v>
      </c>
      <c r="U130" s="492">
        <f>O130+P130+Q130+R130+S130+T130</f>
        <v>41275</v>
      </c>
      <c r="V130" s="325">
        <v>45600</v>
      </c>
      <c r="W130" s="325">
        <v>0</v>
      </c>
      <c r="X130" s="325">
        <v>0</v>
      </c>
      <c r="Y130" s="492">
        <f t="shared" ref="Y130:Y132" si="231">V130+W130+X130</f>
        <v>45600</v>
      </c>
      <c r="Z130" s="492">
        <f t="shared" ref="Z130:Z132" si="232">U130+Y130</f>
        <v>86875</v>
      </c>
      <c r="AA130" s="494">
        <f t="shared" ref="AA130:AA132" si="233">ROUND((U130+Y130)*33.8%,0)</f>
        <v>29364</v>
      </c>
      <c r="AB130" s="494">
        <f t="shared" ref="AB130:AB132" si="234">ROUND(U130*1%,0)</f>
        <v>413</v>
      </c>
      <c r="AC130" s="492">
        <v>0</v>
      </c>
      <c r="AD130" s="789">
        <f t="shared" ref="AD130:AD132" si="235">Z130+AA130+AB130+AC130</f>
        <v>116652</v>
      </c>
      <c r="AE130" s="851">
        <v>-0.06</v>
      </c>
      <c r="AF130" s="764">
        <v>0</v>
      </c>
      <c r="AG130" s="763">
        <v>0</v>
      </c>
      <c r="AH130" s="763">
        <v>0.13</v>
      </c>
      <c r="AI130" s="326">
        <v>0</v>
      </c>
      <c r="AJ130" s="326">
        <v>0</v>
      </c>
      <c r="AK130" s="626">
        <f>SUM(AE130:AJ130)</f>
        <v>7.0000000000000007E-2</v>
      </c>
      <c r="AL130" s="696">
        <f>I130+AD130</f>
        <v>12889499</v>
      </c>
      <c r="AM130" s="492">
        <f>J130+U130</f>
        <v>9516681</v>
      </c>
      <c r="AN130" s="492">
        <f>Y130</f>
        <v>45600</v>
      </c>
      <c r="AO130" s="492">
        <f t="shared" ref="AO130:AQ132" si="236">K130+AA130</f>
        <v>3232051</v>
      </c>
      <c r="AP130" s="492">
        <f t="shared" si="236"/>
        <v>95167</v>
      </c>
      <c r="AQ130" s="492">
        <f t="shared" si="236"/>
        <v>0</v>
      </c>
      <c r="AR130" s="626">
        <f>N130+AK130</f>
        <v>13.297700000000001</v>
      </c>
    </row>
    <row r="131" spans="1:44" ht="12.95" customHeight="1" x14ac:dyDescent="0.25">
      <c r="A131" s="205">
        <v>34</v>
      </c>
      <c r="B131" s="143">
        <v>5441</v>
      </c>
      <c r="C131" s="143">
        <v>600099270</v>
      </c>
      <c r="D131" s="206">
        <v>856118</v>
      </c>
      <c r="E131" s="295" t="s">
        <v>501</v>
      </c>
      <c r="F131" s="143">
        <v>3113</v>
      </c>
      <c r="G131" s="248" t="s">
        <v>278</v>
      </c>
      <c r="H131" s="210" t="s">
        <v>263</v>
      </c>
      <c r="I131" s="586">
        <f t="shared" si="129"/>
        <v>0</v>
      </c>
      <c r="J131" s="490">
        <v>0</v>
      </c>
      <c r="K131" s="55">
        <f t="shared" si="130"/>
        <v>0</v>
      </c>
      <c r="L131" s="55">
        <f t="shared" si="131"/>
        <v>0</v>
      </c>
      <c r="M131" s="490">
        <v>0</v>
      </c>
      <c r="N131" s="752">
        <v>0</v>
      </c>
      <c r="O131" s="327">
        <f>V131*-1</f>
        <v>0</v>
      </c>
      <c r="P131" s="578">
        <f>1638092</f>
        <v>1638092</v>
      </c>
      <c r="Q131" s="325">
        <v>0</v>
      </c>
      <c r="R131" s="325">
        <v>0</v>
      </c>
      <c r="S131" s="325">
        <v>0</v>
      </c>
      <c r="T131" s="325">
        <v>0</v>
      </c>
      <c r="U131" s="492">
        <f>O131+P131+Q131+R131+S131+T131</f>
        <v>1638092</v>
      </c>
      <c r="V131" s="325">
        <v>0</v>
      </c>
      <c r="W131" s="325">
        <v>0</v>
      </c>
      <c r="X131" s="325">
        <v>0</v>
      </c>
      <c r="Y131" s="492">
        <f t="shared" si="231"/>
        <v>0</v>
      </c>
      <c r="Z131" s="492">
        <f t="shared" si="232"/>
        <v>1638092</v>
      </c>
      <c r="AA131" s="494">
        <f t="shared" si="233"/>
        <v>553675</v>
      </c>
      <c r="AB131" s="494">
        <f t="shared" si="234"/>
        <v>16381</v>
      </c>
      <c r="AC131" s="492">
        <v>0</v>
      </c>
      <c r="AD131" s="789">
        <f t="shared" si="235"/>
        <v>2208148</v>
      </c>
      <c r="AE131" s="851">
        <v>0</v>
      </c>
      <c r="AF131" s="764">
        <v>3.92</v>
      </c>
      <c r="AG131" s="763">
        <v>0</v>
      </c>
      <c r="AH131" s="763">
        <v>0</v>
      </c>
      <c r="AI131" s="326">
        <v>0</v>
      </c>
      <c r="AJ131" s="326">
        <v>0</v>
      </c>
      <c r="AK131" s="626">
        <f>SUM(AE131:AJ131)</f>
        <v>3.92</v>
      </c>
      <c r="AL131" s="696">
        <f>I131+AD131</f>
        <v>2208148</v>
      </c>
      <c r="AM131" s="492">
        <f>J131+U131</f>
        <v>1638092</v>
      </c>
      <c r="AN131" s="492">
        <f>Y131</f>
        <v>0</v>
      </c>
      <c r="AO131" s="492">
        <f t="shared" si="236"/>
        <v>553675</v>
      </c>
      <c r="AP131" s="492">
        <f t="shared" si="236"/>
        <v>16381</v>
      </c>
      <c r="AQ131" s="492">
        <f t="shared" si="236"/>
        <v>0</v>
      </c>
      <c r="AR131" s="626">
        <f>N131+AK131</f>
        <v>3.92</v>
      </c>
    </row>
    <row r="132" spans="1:44" ht="12.95" customHeight="1" x14ac:dyDescent="0.25">
      <c r="A132" s="205">
        <v>34</v>
      </c>
      <c r="B132" s="143">
        <v>5441</v>
      </c>
      <c r="C132" s="143">
        <v>600099270</v>
      </c>
      <c r="D132" s="206">
        <v>856118</v>
      </c>
      <c r="E132" s="295" t="s">
        <v>501</v>
      </c>
      <c r="F132" s="143">
        <v>3143</v>
      </c>
      <c r="G132" s="248" t="s">
        <v>794</v>
      </c>
      <c r="H132" s="210" t="s">
        <v>262</v>
      </c>
      <c r="I132" s="586">
        <f t="shared" si="129"/>
        <v>1386067</v>
      </c>
      <c r="J132" s="490">
        <v>1028240</v>
      </c>
      <c r="K132" s="55">
        <f t="shared" si="130"/>
        <v>347545</v>
      </c>
      <c r="L132" s="55">
        <f t="shared" si="131"/>
        <v>10282</v>
      </c>
      <c r="M132" s="490">
        <v>0</v>
      </c>
      <c r="N132" s="752">
        <v>1.9</v>
      </c>
      <c r="O132" s="327">
        <f>V132*-1</f>
        <v>-2160</v>
      </c>
      <c r="P132" s="578">
        <v>0</v>
      </c>
      <c r="Q132" s="325">
        <v>0</v>
      </c>
      <c r="R132" s="325">
        <v>0</v>
      </c>
      <c r="S132" s="325">
        <v>0</v>
      </c>
      <c r="T132" s="325">
        <v>0</v>
      </c>
      <c r="U132" s="492">
        <f>O132+P132+Q132+R132+S132+T132</f>
        <v>-2160</v>
      </c>
      <c r="V132" s="325">
        <v>2160</v>
      </c>
      <c r="W132" s="325">
        <v>0</v>
      </c>
      <c r="X132" s="325">
        <v>0</v>
      </c>
      <c r="Y132" s="492">
        <f t="shared" si="231"/>
        <v>2160</v>
      </c>
      <c r="Z132" s="492">
        <f t="shared" si="232"/>
        <v>0</v>
      </c>
      <c r="AA132" s="494">
        <f t="shared" si="233"/>
        <v>0</v>
      </c>
      <c r="AB132" s="494">
        <f t="shared" si="234"/>
        <v>-22</v>
      </c>
      <c r="AC132" s="492">
        <v>0</v>
      </c>
      <c r="AD132" s="789">
        <f t="shared" si="235"/>
        <v>-22</v>
      </c>
      <c r="AE132" s="851">
        <v>0</v>
      </c>
      <c r="AF132" s="764">
        <v>0</v>
      </c>
      <c r="AG132" s="763">
        <v>0</v>
      </c>
      <c r="AH132" s="763">
        <v>0</v>
      </c>
      <c r="AI132" s="326">
        <v>0</v>
      </c>
      <c r="AJ132" s="326">
        <v>0</v>
      </c>
      <c r="AK132" s="626">
        <f>SUM(AE132:AJ132)</f>
        <v>0</v>
      </c>
      <c r="AL132" s="696">
        <f>I132+AD132</f>
        <v>1386045</v>
      </c>
      <c r="AM132" s="492">
        <f>J132+U132</f>
        <v>1026080</v>
      </c>
      <c r="AN132" s="492">
        <f>Y132</f>
        <v>2160</v>
      </c>
      <c r="AO132" s="492">
        <f t="shared" si="236"/>
        <v>347545</v>
      </c>
      <c r="AP132" s="492">
        <f t="shared" si="236"/>
        <v>10260</v>
      </c>
      <c r="AQ132" s="492">
        <f t="shared" si="236"/>
        <v>0</v>
      </c>
      <c r="AR132" s="626">
        <f>N132+AK132</f>
        <v>1.9</v>
      </c>
    </row>
    <row r="133" spans="1:44" ht="12.95" customHeight="1" x14ac:dyDescent="0.25">
      <c r="A133" s="144">
        <v>34</v>
      </c>
      <c r="B133" s="41">
        <v>5441</v>
      </c>
      <c r="C133" s="41">
        <v>600099270</v>
      </c>
      <c r="D133" s="41">
        <v>856118</v>
      </c>
      <c r="E133" s="297" t="s">
        <v>502</v>
      </c>
      <c r="F133" s="41"/>
      <c r="G133" s="297"/>
      <c r="H133" s="128"/>
      <c r="I133" s="668">
        <f t="shared" ref="I133:AR133" si="237">SUM(I130:I132)</f>
        <v>14158914</v>
      </c>
      <c r="J133" s="573">
        <f t="shared" si="237"/>
        <v>10503646</v>
      </c>
      <c r="K133" s="368">
        <f t="shared" si="237"/>
        <v>3550232</v>
      </c>
      <c r="L133" s="368">
        <f t="shared" si="237"/>
        <v>105036</v>
      </c>
      <c r="M133" s="573">
        <f t="shared" si="237"/>
        <v>0</v>
      </c>
      <c r="N133" s="769">
        <f t="shared" si="237"/>
        <v>15.127700000000001</v>
      </c>
      <c r="O133" s="673">
        <f t="shared" si="237"/>
        <v>-47760</v>
      </c>
      <c r="P133" s="467">
        <f t="shared" si="237"/>
        <v>1638092</v>
      </c>
      <c r="Q133" s="368">
        <f t="shared" si="237"/>
        <v>86875</v>
      </c>
      <c r="R133" s="368">
        <f t="shared" si="237"/>
        <v>0</v>
      </c>
      <c r="S133" s="368">
        <f t="shared" si="237"/>
        <v>0</v>
      </c>
      <c r="T133" s="368">
        <f t="shared" si="237"/>
        <v>0</v>
      </c>
      <c r="U133" s="368">
        <f t="shared" si="237"/>
        <v>1677207</v>
      </c>
      <c r="V133" s="368">
        <f t="shared" si="237"/>
        <v>47760</v>
      </c>
      <c r="W133" s="368">
        <f t="shared" si="237"/>
        <v>0</v>
      </c>
      <c r="X133" s="368">
        <f t="shared" si="237"/>
        <v>0</v>
      </c>
      <c r="Y133" s="368">
        <f t="shared" si="237"/>
        <v>47760</v>
      </c>
      <c r="Z133" s="368">
        <f t="shared" si="237"/>
        <v>1724967</v>
      </c>
      <c r="AA133" s="368">
        <f t="shared" si="237"/>
        <v>583039</v>
      </c>
      <c r="AB133" s="368">
        <f t="shared" si="237"/>
        <v>16772</v>
      </c>
      <c r="AC133" s="368">
        <f t="shared" si="237"/>
        <v>0</v>
      </c>
      <c r="AD133" s="846">
        <f t="shared" si="237"/>
        <v>2324778</v>
      </c>
      <c r="AE133" s="854">
        <f t="shared" si="237"/>
        <v>-0.06</v>
      </c>
      <c r="AF133" s="770">
        <f t="shared" si="237"/>
        <v>3.92</v>
      </c>
      <c r="AG133" s="770">
        <f t="shared" si="237"/>
        <v>0</v>
      </c>
      <c r="AH133" s="770">
        <f t="shared" si="237"/>
        <v>0.13</v>
      </c>
      <c r="AI133" s="369">
        <f t="shared" si="237"/>
        <v>0</v>
      </c>
      <c r="AJ133" s="369">
        <f t="shared" si="237"/>
        <v>0</v>
      </c>
      <c r="AK133" s="302">
        <f t="shared" si="237"/>
        <v>3.9899999999999998</v>
      </c>
      <c r="AL133" s="673">
        <f t="shared" si="237"/>
        <v>16483692</v>
      </c>
      <c r="AM133" s="467">
        <f t="shared" si="237"/>
        <v>12180853</v>
      </c>
      <c r="AN133" s="368">
        <f t="shared" si="237"/>
        <v>47760</v>
      </c>
      <c r="AO133" s="368">
        <f t="shared" si="237"/>
        <v>4133271</v>
      </c>
      <c r="AP133" s="368">
        <f t="shared" si="237"/>
        <v>121808</v>
      </c>
      <c r="AQ133" s="368">
        <f t="shared" si="237"/>
        <v>0</v>
      </c>
      <c r="AR133" s="302">
        <f t="shared" si="237"/>
        <v>19.117699999999999</v>
      </c>
    </row>
    <row r="134" spans="1:44" ht="12.95" customHeight="1" x14ac:dyDescent="0.25">
      <c r="A134" s="205">
        <v>35</v>
      </c>
      <c r="B134" s="299">
        <v>2306</v>
      </c>
      <c r="C134" s="299">
        <v>650025873</v>
      </c>
      <c r="D134" s="206">
        <v>70695946</v>
      </c>
      <c r="E134" s="295" t="s">
        <v>503</v>
      </c>
      <c r="F134" s="143">
        <v>3111</v>
      </c>
      <c r="G134" s="296" t="s">
        <v>290</v>
      </c>
      <c r="H134" s="210" t="s">
        <v>262</v>
      </c>
      <c r="I134" s="586">
        <f t="shared" si="129"/>
        <v>2992926</v>
      </c>
      <c r="J134" s="490">
        <v>2220271</v>
      </c>
      <c r="K134" s="55">
        <f t="shared" si="130"/>
        <v>750452</v>
      </c>
      <c r="L134" s="55">
        <f t="shared" si="131"/>
        <v>22203</v>
      </c>
      <c r="M134" s="490">
        <v>0</v>
      </c>
      <c r="N134" s="752">
        <v>3.7258</v>
      </c>
      <c r="O134" s="555">
        <f t="shared" ref="O134:O137" si="238">V134*-1</f>
        <v>0</v>
      </c>
      <c r="P134" s="578">
        <v>0</v>
      </c>
      <c r="Q134" s="325">
        <v>0</v>
      </c>
      <c r="R134" s="325">
        <v>0</v>
      </c>
      <c r="S134" s="325">
        <v>0</v>
      </c>
      <c r="T134" s="325">
        <v>0</v>
      </c>
      <c r="U134" s="492">
        <f>O134+P134+Q134+R134+S134+T134</f>
        <v>0</v>
      </c>
      <c r="V134" s="325">
        <v>0</v>
      </c>
      <c r="W134" s="325">
        <v>0</v>
      </c>
      <c r="X134" s="325">
        <v>0</v>
      </c>
      <c r="Y134" s="492">
        <f t="shared" ref="Y134:Y137" si="239">V134+W134+X134</f>
        <v>0</v>
      </c>
      <c r="Z134" s="492">
        <f t="shared" ref="Z134:Z137" si="240">U134+Y134</f>
        <v>0</v>
      </c>
      <c r="AA134" s="494">
        <f t="shared" ref="AA134:AA137" si="241">ROUND((U134+Y134)*33.8%,0)</f>
        <v>0</v>
      </c>
      <c r="AB134" s="494">
        <f t="shared" ref="AB134:AB137" si="242">ROUND(U134*1%,0)</f>
        <v>0</v>
      </c>
      <c r="AC134" s="492">
        <v>0</v>
      </c>
      <c r="AD134" s="789">
        <f t="shared" ref="AD134:AD137" si="243">Z134+AA134+AB134+AC134</f>
        <v>0</v>
      </c>
      <c r="AE134" s="851">
        <v>0</v>
      </c>
      <c r="AF134" s="764">
        <v>0</v>
      </c>
      <c r="AG134" s="763">
        <v>0</v>
      </c>
      <c r="AH134" s="763">
        <v>0</v>
      </c>
      <c r="AI134" s="326">
        <v>0</v>
      </c>
      <c r="AJ134" s="326">
        <v>0</v>
      </c>
      <c r="AK134" s="626">
        <f>SUM(AE134:AJ134)</f>
        <v>0</v>
      </c>
      <c r="AL134" s="696">
        <f>I134+AD134</f>
        <v>2992926</v>
      </c>
      <c r="AM134" s="492">
        <f>J134+U134</f>
        <v>2220271</v>
      </c>
      <c r="AN134" s="492">
        <f>Y134</f>
        <v>0</v>
      </c>
      <c r="AO134" s="492">
        <f t="shared" ref="AO134:AQ137" si="244">K134+AA134</f>
        <v>750452</v>
      </c>
      <c r="AP134" s="492">
        <f t="shared" si="244"/>
        <v>22203</v>
      </c>
      <c r="AQ134" s="492">
        <f t="shared" si="244"/>
        <v>0</v>
      </c>
      <c r="AR134" s="626">
        <f>N134+AK134</f>
        <v>3.7258</v>
      </c>
    </row>
    <row r="135" spans="1:44" ht="12.95" customHeight="1" x14ac:dyDescent="0.25">
      <c r="A135" s="205">
        <v>35</v>
      </c>
      <c r="B135" s="299">
        <v>2306</v>
      </c>
      <c r="C135" s="299">
        <v>650025873</v>
      </c>
      <c r="D135" s="206">
        <v>70695946</v>
      </c>
      <c r="E135" s="142" t="s">
        <v>503</v>
      </c>
      <c r="F135" s="299">
        <v>3117</v>
      </c>
      <c r="G135" s="295" t="s">
        <v>294</v>
      </c>
      <c r="H135" s="210" t="s">
        <v>262</v>
      </c>
      <c r="I135" s="586">
        <f t="shared" si="129"/>
        <v>2528359</v>
      </c>
      <c r="J135" s="490">
        <v>1875638</v>
      </c>
      <c r="K135" s="55">
        <f>ROUND(J135*33.8%,0)-1</f>
        <v>633965</v>
      </c>
      <c r="L135" s="55">
        <f t="shared" si="131"/>
        <v>18756</v>
      </c>
      <c r="M135" s="490">
        <v>0</v>
      </c>
      <c r="N135" s="752">
        <v>2.9091</v>
      </c>
      <c r="O135" s="327">
        <f t="shared" si="238"/>
        <v>0</v>
      </c>
      <c r="P135" s="578">
        <v>0</v>
      </c>
      <c r="Q135" s="325">
        <v>0</v>
      </c>
      <c r="R135" s="325">
        <v>0</v>
      </c>
      <c r="S135" s="325">
        <v>0</v>
      </c>
      <c r="T135" s="325">
        <v>0</v>
      </c>
      <c r="U135" s="492">
        <f>O135+P135+Q135+R135+S135+T135</f>
        <v>0</v>
      </c>
      <c r="V135" s="325">
        <v>0</v>
      </c>
      <c r="W135" s="325">
        <v>0</v>
      </c>
      <c r="X135" s="325">
        <v>0</v>
      </c>
      <c r="Y135" s="492">
        <f t="shared" si="239"/>
        <v>0</v>
      </c>
      <c r="Z135" s="492">
        <f t="shared" si="240"/>
        <v>0</v>
      </c>
      <c r="AA135" s="494">
        <f t="shared" si="241"/>
        <v>0</v>
      </c>
      <c r="AB135" s="494">
        <f t="shared" si="242"/>
        <v>0</v>
      </c>
      <c r="AC135" s="492">
        <v>0</v>
      </c>
      <c r="AD135" s="789">
        <f t="shared" si="243"/>
        <v>0</v>
      </c>
      <c r="AE135" s="851">
        <v>0</v>
      </c>
      <c r="AF135" s="764">
        <v>0</v>
      </c>
      <c r="AG135" s="763">
        <v>0</v>
      </c>
      <c r="AH135" s="763">
        <v>0</v>
      </c>
      <c r="AI135" s="326">
        <v>0</v>
      </c>
      <c r="AJ135" s="326">
        <v>0</v>
      </c>
      <c r="AK135" s="626">
        <f>SUM(AE135:AJ135)</f>
        <v>0</v>
      </c>
      <c r="AL135" s="696">
        <f>I135+AD135</f>
        <v>2528359</v>
      </c>
      <c r="AM135" s="492">
        <f>J135+U135</f>
        <v>1875638</v>
      </c>
      <c r="AN135" s="492">
        <f>Y135</f>
        <v>0</v>
      </c>
      <c r="AO135" s="492">
        <f t="shared" si="244"/>
        <v>633965</v>
      </c>
      <c r="AP135" s="492">
        <f t="shared" si="244"/>
        <v>18756</v>
      </c>
      <c r="AQ135" s="492">
        <f t="shared" si="244"/>
        <v>0</v>
      </c>
      <c r="AR135" s="626">
        <f>N135+AK135</f>
        <v>2.9091</v>
      </c>
    </row>
    <row r="136" spans="1:44" ht="12.95" customHeight="1" x14ac:dyDescent="0.25">
      <c r="A136" s="205">
        <v>35</v>
      </c>
      <c r="B136" s="143">
        <v>2306</v>
      </c>
      <c r="C136" s="143">
        <v>650025873</v>
      </c>
      <c r="D136" s="206">
        <v>70695946</v>
      </c>
      <c r="E136" s="142" t="s">
        <v>503</v>
      </c>
      <c r="F136" s="299">
        <v>3117</v>
      </c>
      <c r="G136" s="248" t="s">
        <v>278</v>
      </c>
      <c r="H136" s="210" t="s">
        <v>263</v>
      </c>
      <c r="I136" s="586">
        <f t="shared" si="129"/>
        <v>0</v>
      </c>
      <c r="J136" s="490">
        <v>0</v>
      </c>
      <c r="K136" s="55">
        <f t="shared" si="130"/>
        <v>0</v>
      </c>
      <c r="L136" s="55">
        <f t="shared" si="131"/>
        <v>0</v>
      </c>
      <c r="M136" s="490">
        <v>0</v>
      </c>
      <c r="N136" s="752">
        <v>0</v>
      </c>
      <c r="O136" s="327">
        <f t="shared" si="238"/>
        <v>0</v>
      </c>
      <c r="P136" s="578">
        <v>189068</v>
      </c>
      <c r="Q136" s="325">
        <v>0</v>
      </c>
      <c r="R136" s="325">
        <v>0</v>
      </c>
      <c r="S136" s="325">
        <v>0</v>
      </c>
      <c r="T136" s="325">
        <v>0</v>
      </c>
      <c r="U136" s="492">
        <f>O136+P136+Q136+R136+S136+T136</f>
        <v>189068</v>
      </c>
      <c r="V136" s="325">
        <v>0</v>
      </c>
      <c r="W136" s="325">
        <v>0</v>
      </c>
      <c r="X136" s="325">
        <v>0</v>
      </c>
      <c r="Y136" s="492">
        <f t="shared" si="239"/>
        <v>0</v>
      </c>
      <c r="Z136" s="492">
        <f t="shared" si="240"/>
        <v>189068</v>
      </c>
      <c r="AA136" s="494">
        <f t="shared" si="241"/>
        <v>63905</v>
      </c>
      <c r="AB136" s="494">
        <f t="shared" si="242"/>
        <v>1891</v>
      </c>
      <c r="AC136" s="492">
        <v>0</v>
      </c>
      <c r="AD136" s="789">
        <f t="shared" si="243"/>
        <v>254864</v>
      </c>
      <c r="AE136" s="851">
        <v>0</v>
      </c>
      <c r="AF136" s="764">
        <v>0.64</v>
      </c>
      <c r="AG136" s="763">
        <v>0</v>
      </c>
      <c r="AH136" s="763">
        <v>0</v>
      </c>
      <c r="AI136" s="326">
        <v>0</v>
      </c>
      <c r="AJ136" s="326">
        <v>0</v>
      </c>
      <c r="AK136" s="626">
        <f>SUM(AE136:AJ136)</f>
        <v>0.64</v>
      </c>
      <c r="AL136" s="696">
        <f>I136+AD136</f>
        <v>254864</v>
      </c>
      <c r="AM136" s="492">
        <f>J136+U136</f>
        <v>189068</v>
      </c>
      <c r="AN136" s="492">
        <f>Y136</f>
        <v>0</v>
      </c>
      <c r="AO136" s="492">
        <f t="shared" si="244"/>
        <v>63905</v>
      </c>
      <c r="AP136" s="492">
        <f t="shared" si="244"/>
        <v>1891</v>
      </c>
      <c r="AQ136" s="492">
        <f t="shared" si="244"/>
        <v>0</v>
      </c>
      <c r="AR136" s="626">
        <f>N136+AK136</f>
        <v>0.64</v>
      </c>
    </row>
    <row r="137" spans="1:44" ht="12.95" customHeight="1" x14ac:dyDescent="0.25">
      <c r="A137" s="205">
        <v>35</v>
      </c>
      <c r="B137" s="143">
        <v>2306</v>
      </c>
      <c r="C137" s="143">
        <v>650025873</v>
      </c>
      <c r="D137" s="206">
        <v>70695946</v>
      </c>
      <c r="E137" s="142" t="s">
        <v>503</v>
      </c>
      <c r="F137" s="143">
        <v>3143</v>
      </c>
      <c r="G137" s="248" t="s">
        <v>794</v>
      </c>
      <c r="H137" s="210" t="s">
        <v>262</v>
      </c>
      <c r="I137" s="586">
        <f t="shared" si="129"/>
        <v>813933</v>
      </c>
      <c r="J137" s="490">
        <v>603808</v>
      </c>
      <c r="K137" s="55">
        <f t="shared" si="130"/>
        <v>204087</v>
      </c>
      <c r="L137" s="55">
        <f t="shared" si="131"/>
        <v>6038</v>
      </c>
      <c r="M137" s="490">
        <v>0</v>
      </c>
      <c r="N137" s="752">
        <v>1.1341000000000001</v>
      </c>
      <c r="O137" s="327">
        <f t="shared" si="238"/>
        <v>0</v>
      </c>
      <c r="P137" s="578">
        <v>0</v>
      </c>
      <c r="Q137" s="325">
        <v>0</v>
      </c>
      <c r="R137" s="325">
        <v>0</v>
      </c>
      <c r="S137" s="325">
        <v>0</v>
      </c>
      <c r="T137" s="325">
        <v>0</v>
      </c>
      <c r="U137" s="492">
        <f>O137+P137+Q137+R137+S137+T137</f>
        <v>0</v>
      </c>
      <c r="V137" s="325">
        <v>0</v>
      </c>
      <c r="W137" s="325">
        <v>0</v>
      </c>
      <c r="X137" s="325">
        <v>0</v>
      </c>
      <c r="Y137" s="492">
        <f t="shared" si="239"/>
        <v>0</v>
      </c>
      <c r="Z137" s="492">
        <f t="shared" si="240"/>
        <v>0</v>
      </c>
      <c r="AA137" s="494">
        <f t="shared" si="241"/>
        <v>0</v>
      </c>
      <c r="AB137" s="494">
        <f t="shared" si="242"/>
        <v>0</v>
      </c>
      <c r="AC137" s="492">
        <v>0</v>
      </c>
      <c r="AD137" s="789">
        <f t="shared" si="243"/>
        <v>0</v>
      </c>
      <c r="AE137" s="851">
        <v>0</v>
      </c>
      <c r="AF137" s="764">
        <v>0</v>
      </c>
      <c r="AG137" s="763">
        <v>0</v>
      </c>
      <c r="AH137" s="763">
        <v>0</v>
      </c>
      <c r="AI137" s="326">
        <v>0</v>
      </c>
      <c r="AJ137" s="326">
        <v>0</v>
      </c>
      <c r="AK137" s="626">
        <f>SUM(AE137:AJ137)</f>
        <v>0</v>
      </c>
      <c r="AL137" s="696">
        <f>I137+AD137</f>
        <v>813933</v>
      </c>
      <c r="AM137" s="492">
        <f>J137+U137</f>
        <v>603808</v>
      </c>
      <c r="AN137" s="492">
        <f>Y137</f>
        <v>0</v>
      </c>
      <c r="AO137" s="492">
        <f t="shared" si="244"/>
        <v>204087</v>
      </c>
      <c r="AP137" s="492">
        <f t="shared" si="244"/>
        <v>6038</v>
      </c>
      <c r="AQ137" s="492">
        <f t="shared" si="244"/>
        <v>0</v>
      </c>
      <c r="AR137" s="626">
        <f>N137+AK137</f>
        <v>1.1341000000000001</v>
      </c>
    </row>
    <row r="138" spans="1:44" ht="12.95" customHeight="1" x14ac:dyDescent="0.25">
      <c r="A138" s="145">
        <v>35</v>
      </c>
      <c r="B138" s="41">
        <v>2306</v>
      </c>
      <c r="C138" s="41">
        <v>650025873</v>
      </c>
      <c r="D138" s="41">
        <v>70695946</v>
      </c>
      <c r="E138" s="297" t="s">
        <v>504</v>
      </c>
      <c r="F138" s="41"/>
      <c r="G138" s="297"/>
      <c r="H138" s="128"/>
      <c r="I138" s="667">
        <f t="shared" ref="I138:AR138" si="245">SUM(I134:I137)</f>
        <v>6335218</v>
      </c>
      <c r="J138" s="572">
        <f t="shared" si="245"/>
        <v>4699717</v>
      </c>
      <c r="K138" s="351">
        <f t="shared" si="245"/>
        <v>1588504</v>
      </c>
      <c r="L138" s="351">
        <f t="shared" si="245"/>
        <v>46997</v>
      </c>
      <c r="M138" s="572">
        <f t="shared" si="245"/>
        <v>0</v>
      </c>
      <c r="N138" s="767">
        <f t="shared" si="245"/>
        <v>7.7690000000000001</v>
      </c>
      <c r="O138" s="672">
        <f t="shared" si="245"/>
        <v>0</v>
      </c>
      <c r="P138" s="466">
        <f t="shared" si="245"/>
        <v>189068</v>
      </c>
      <c r="Q138" s="351">
        <f t="shared" si="245"/>
        <v>0</v>
      </c>
      <c r="R138" s="351">
        <f t="shared" si="245"/>
        <v>0</v>
      </c>
      <c r="S138" s="351">
        <f t="shared" si="245"/>
        <v>0</v>
      </c>
      <c r="T138" s="351">
        <f t="shared" si="245"/>
        <v>0</v>
      </c>
      <c r="U138" s="351">
        <f t="shared" si="245"/>
        <v>189068</v>
      </c>
      <c r="V138" s="351">
        <f t="shared" si="245"/>
        <v>0</v>
      </c>
      <c r="W138" s="351">
        <f t="shared" si="245"/>
        <v>0</v>
      </c>
      <c r="X138" s="351">
        <f t="shared" si="245"/>
        <v>0</v>
      </c>
      <c r="Y138" s="351">
        <f t="shared" si="245"/>
        <v>0</v>
      </c>
      <c r="Z138" s="351">
        <f t="shared" si="245"/>
        <v>189068</v>
      </c>
      <c r="AA138" s="351">
        <f t="shared" si="245"/>
        <v>63905</v>
      </c>
      <c r="AB138" s="351">
        <f t="shared" si="245"/>
        <v>1891</v>
      </c>
      <c r="AC138" s="351">
        <f t="shared" si="245"/>
        <v>0</v>
      </c>
      <c r="AD138" s="845">
        <f t="shared" si="245"/>
        <v>254864</v>
      </c>
      <c r="AE138" s="853">
        <f t="shared" si="245"/>
        <v>0</v>
      </c>
      <c r="AF138" s="768">
        <f t="shared" si="245"/>
        <v>0.64</v>
      </c>
      <c r="AG138" s="768">
        <f t="shared" si="245"/>
        <v>0</v>
      </c>
      <c r="AH138" s="768">
        <f t="shared" si="245"/>
        <v>0</v>
      </c>
      <c r="AI138" s="352">
        <f t="shared" si="245"/>
        <v>0</v>
      </c>
      <c r="AJ138" s="352">
        <f t="shared" si="245"/>
        <v>0</v>
      </c>
      <c r="AK138" s="204">
        <f t="shared" si="245"/>
        <v>0.64</v>
      </c>
      <c r="AL138" s="672">
        <f t="shared" si="245"/>
        <v>6590082</v>
      </c>
      <c r="AM138" s="466">
        <f t="shared" si="245"/>
        <v>4888785</v>
      </c>
      <c r="AN138" s="351">
        <f t="shared" si="245"/>
        <v>0</v>
      </c>
      <c r="AO138" s="351">
        <f t="shared" si="245"/>
        <v>1652409</v>
      </c>
      <c r="AP138" s="351">
        <f t="shared" si="245"/>
        <v>48888</v>
      </c>
      <c r="AQ138" s="351">
        <f t="shared" si="245"/>
        <v>0</v>
      </c>
      <c r="AR138" s="204">
        <f t="shared" si="245"/>
        <v>8.4089999999999989</v>
      </c>
    </row>
    <row r="139" spans="1:44" ht="12.95" customHeight="1" x14ac:dyDescent="0.25">
      <c r="A139" s="205">
        <v>36</v>
      </c>
      <c r="B139" s="304">
        <v>2447</v>
      </c>
      <c r="C139" s="304">
        <v>600080111</v>
      </c>
      <c r="D139" s="206">
        <v>72744961</v>
      </c>
      <c r="E139" s="312" t="s">
        <v>505</v>
      </c>
      <c r="F139" s="304">
        <v>3117</v>
      </c>
      <c r="G139" s="295" t="s">
        <v>294</v>
      </c>
      <c r="H139" s="210" t="s">
        <v>262</v>
      </c>
      <c r="I139" s="586">
        <f t="shared" si="129"/>
        <v>2898036</v>
      </c>
      <c r="J139" s="490">
        <v>2149878</v>
      </c>
      <c r="K139" s="55">
        <f t="shared" si="130"/>
        <v>726659</v>
      </c>
      <c r="L139" s="55">
        <f t="shared" si="131"/>
        <v>21499</v>
      </c>
      <c r="M139" s="490">
        <v>0</v>
      </c>
      <c r="N139" s="752">
        <v>3.2164999999999999</v>
      </c>
      <c r="O139" s="555">
        <f>V139*-1</f>
        <v>-12000</v>
      </c>
      <c r="P139" s="578">
        <v>0</v>
      </c>
      <c r="Q139" s="325">
        <v>0</v>
      </c>
      <c r="R139" s="325">
        <v>0</v>
      </c>
      <c r="S139" s="325">
        <v>0</v>
      </c>
      <c r="T139" s="325">
        <v>0</v>
      </c>
      <c r="U139" s="492">
        <f>O139+P139+Q139+R139+S139+T139</f>
        <v>-12000</v>
      </c>
      <c r="V139" s="325">
        <v>12000</v>
      </c>
      <c r="W139" s="325">
        <v>0</v>
      </c>
      <c r="X139" s="325">
        <v>0</v>
      </c>
      <c r="Y139" s="492">
        <f t="shared" ref="Y139:Y141" si="246">V139+W139+X139</f>
        <v>12000</v>
      </c>
      <c r="Z139" s="492">
        <f t="shared" ref="Z139:Z141" si="247">U139+Y139</f>
        <v>0</v>
      </c>
      <c r="AA139" s="494">
        <f t="shared" ref="AA139:AA141" si="248">ROUND((U139+Y139)*33.8%,0)</f>
        <v>0</v>
      </c>
      <c r="AB139" s="494">
        <f t="shared" ref="AB139:AB141" si="249">ROUND(U139*1%,0)</f>
        <v>-120</v>
      </c>
      <c r="AC139" s="492">
        <v>0</v>
      </c>
      <c r="AD139" s="789">
        <f t="shared" ref="AD139:AD141" si="250">Z139+AA139+AB139+AC139</f>
        <v>-120</v>
      </c>
      <c r="AE139" s="851">
        <v>0</v>
      </c>
      <c r="AF139" s="764">
        <v>0</v>
      </c>
      <c r="AG139" s="763">
        <v>0</v>
      </c>
      <c r="AH139" s="763">
        <v>0</v>
      </c>
      <c r="AI139" s="326">
        <v>0</v>
      </c>
      <c r="AJ139" s="326">
        <v>0</v>
      </c>
      <c r="AK139" s="626">
        <f>SUM(AE139:AJ139)</f>
        <v>0</v>
      </c>
      <c r="AL139" s="696">
        <f>I139+AD139</f>
        <v>2897916</v>
      </c>
      <c r="AM139" s="492">
        <f>J139+U139</f>
        <v>2137878</v>
      </c>
      <c r="AN139" s="492">
        <f>Y139</f>
        <v>12000</v>
      </c>
      <c r="AO139" s="492">
        <f t="shared" ref="AO139:AQ141" si="251">K139+AA139</f>
        <v>726659</v>
      </c>
      <c r="AP139" s="492">
        <f t="shared" si="251"/>
        <v>21379</v>
      </c>
      <c r="AQ139" s="492">
        <f t="shared" si="251"/>
        <v>0</v>
      </c>
      <c r="AR139" s="626">
        <f>N139+AK139</f>
        <v>3.2164999999999999</v>
      </c>
    </row>
    <row r="140" spans="1:44" ht="12.95" customHeight="1" x14ac:dyDescent="0.25">
      <c r="A140" s="205">
        <v>36</v>
      </c>
      <c r="B140" s="299">
        <v>2447</v>
      </c>
      <c r="C140" s="299">
        <v>600080111</v>
      </c>
      <c r="D140" s="206">
        <v>72744961</v>
      </c>
      <c r="E140" s="142" t="s">
        <v>505</v>
      </c>
      <c r="F140" s="304">
        <v>3117</v>
      </c>
      <c r="G140" s="248" t="s">
        <v>278</v>
      </c>
      <c r="H140" s="210" t="s">
        <v>263</v>
      </c>
      <c r="I140" s="586">
        <f t="shared" si="129"/>
        <v>0</v>
      </c>
      <c r="J140" s="490">
        <v>0</v>
      </c>
      <c r="K140" s="55">
        <f t="shared" si="130"/>
        <v>0</v>
      </c>
      <c r="L140" s="55">
        <f t="shared" si="131"/>
        <v>0</v>
      </c>
      <c r="M140" s="490">
        <v>0</v>
      </c>
      <c r="N140" s="752">
        <v>0</v>
      </c>
      <c r="O140" s="327">
        <f>V140*-1</f>
        <v>0</v>
      </c>
      <c r="P140" s="578">
        <v>251404</v>
      </c>
      <c r="Q140" s="325">
        <v>0</v>
      </c>
      <c r="R140" s="325">
        <v>0</v>
      </c>
      <c r="S140" s="325">
        <v>0</v>
      </c>
      <c r="T140" s="325">
        <v>0</v>
      </c>
      <c r="U140" s="492">
        <f>O140+P140+Q140+R140+S140+T140</f>
        <v>251404</v>
      </c>
      <c r="V140" s="325">
        <v>0</v>
      </c>
      <c r="W140" s="325">
        <v>0</v>
      </c>
      <c r="X140" s="325">
        <v>0</v>
      </c>
      <c r="Y140" s="492">
        <f t="shared" si="246"/>
        <v>0</v>
      </c>
      <c r="Z140" s="492">
        <f t="shared" si="247"/>
        <v>251404</v>
      </c>
      <c r="AA140" s="494">
        <f t="shared" si="248"/>
        <v>84975</v>
      </c>
      <c r="AB140" s="494">
        <f t="shared" si="249"/>
        <v>2514</v>
      </c>
      <c r="AC140" s="492">
        <v>0</v>
      </c>
      <c r="AD140" s="789">
        <f t="shared" si="250"/>
        <v>338893</v>
      </c>
      <c r="AE140" s="851">
        <v>0</v>
      </c>
      <c r="AF140" s="764">
        <v>0.6</v>
      </c>
      <c r="AG140" s="763">
        <v>0</v>
      </c>
      <c r="AH140" s="763">
        <v>0</v>
      </c>
      <c r="AI140" s="326">
        <v>0</v>
      </c>
      <c r="AJ140" s="326">
        <v>0</v>
      </c>
      <c r="AK140" s="626">
        <f>SUM(AE140:AJ140)</f>
        <v>0.6</v>
      </c>
      <c r="AL140" s="696">
        <f>I140+AD140</f>
        <v>338893</v>
      </c>
      <c r="AM140" s="492">
        <f>J140+U140</f>
        <v>251404</v>
      </c>
      <c r="AN140" s="492">
        <f>Y140</f>
        <v>0</v>
      </c>
      <c r="AO140" s="492">
        <f t="shared" si="251"/>
        <v>84975</v>
      </c>
      <c r="AP140" s="492">
        <f t="shared" si="251"/>
        <v>2514</v>
      </c>
      <c r="AQ140" s="492">
        <f t="shared" si="251"/>
        <v>0</v>
      </c>
      <c r="AR140" s="626">
        <f>N140+AK140</f>
        <v>0.6</v>
      </c>
    </row>
    <row r="141" spans="1:44" ht="12.95" customHeight="1" x14ac:dyDescent="0.25">
      <c r="A141" s="205">
        <v>36</v>
      </c>
      <c r="B141" s="299">
        <v>2447</v>
      </c>
      <c r="C141" s="299">
        <v>600080111</v>
      </c>
      <c r="D141" s="206">
        <v>72744961</v>
      </c>
      <c r="E141" s="142" t="s">
        <v>505</v>
      </c>
      <c r="F141" s="299">
        <v>3143</v>
      </c>
      <c r="G141" s="248" t="s">
        <v>795</v>
      </c>
      <c r="H141" s="210" t="s">
        <v>262</v>
      </c>
      <c r="I141" s="586">
        <f t="shared" si="129"/>
        <v>1026925</v>
      </c>
      <c r="J141" s="490">
        <v>761814</v>
      </c>
      <c r="K141" s="55">
        <f t="shared" si="130"/>
        <v>257493</v>
      </c>
      <c r="L141" s="55">
        <f t="shared" si="131"/>
        <v>7618</v>
      </c>
      <c r="M141" s="490">
        <v>0</v>
      </c>
      <c r="N141" s="752">
        <v>1.57</v>
      </c>
      <c r="O141" s="327">
        <f>V141*-1</f>
        <v>-6000</v>
      </c>
      <c r="P141" s="578">
        <v>0</v>
      </c>
      <c r="Q141" s="325">
        <v>0</v>
      </c>
      <c r="R141" s="325">
        <v>0</v>
      </c>
      <c r="S141" s="325">
        <v>0</v>
      </c>
      <c r="T141" s="325">
        <v>0</v>
      </c>
      <c r="U141" s="492">
        <f>O141+P141+Q141+R141+S141+T141</f>
        <v>-6000</v>
      </c>
      <c r="V141" s="325">
        <v>6000</v>
      </c>
      <c r="W141" s="325">
        <v>0</v>
      </c>
      <c r="X141" s="325">
        <v>0</v>
      </c>
      <c r="Y141" s="492">
        <f t="shared" si="246"/>
        <v>6000</v>
      </c>
      <c r="Z141" s="492">
        <f t="shared" si="247"/>
        <v>0</v>
      </c>
      <c r="AA141" s="494">
        <f t="shared" si="248"/>
        <v>0</v>
      </c>
      <c r="AB141" s="494">
        <f t="shared" si="249"/>
        <v>-60</v>
      </c>
      <c r="AC141" s="492">
        <v>0</v>
      </c>
      <c r="AD141" s="789">
        <f t="shared" si="250"/>
        <v>-60</v>
      </c>
      <c r="AE141" s="851">
        <v>0</v>
      </c>
      <c r="AF141" s="764">
        <v>0</v>
      </c>
      <c r="AG141" s="763">
        <v>0</v>
      </c>
      <c r="AH141" s="763">
        <v>0</v>
      </c>
      <c r="AI141" s="326">
        <v>0</v>
      </c>
      <c r="AJ141" s="326">
        <v>0</v>
      </c>
      <c r="AK141" s="626">
        <f>SUM(AE141:AJ141)</f>
        <v>0</v>
      </c>
      <c r="AL141" s="696">
        <f>I141+AD141</f>
        <v>1026865</v>
      </c>
      <c r="AM141" s="492">
        <f>J141+U141</f>
        <v>755814</v>
      </c>
      <c r="AN141" s="492">
        <f>Y141</f>
        <v>6000</v>
      </c>
      <c r="AO141" s="492">
        <f t="shared" si="251"/>
        <v>257493</v>
      </c>
      <c r="AP141" s="492">
        <f t="shared" si="251"/>
        <v>7558</v>
      </c>
      <c r="AQ141" s="492">
        <f t="shared" si="251"/>
        <v>0</v>
      </c>
      <c r="AR141" s="626">
        <f>N141+AK141</f>
        <v>1.57</v>
      </c>
    </row>
    <row r="142" spans="1:44" ht="12.95" customHeight="1" x14ac:dyDescent="0.25">
      <c r="A142" s="145">
        <v>36</v>
      </c>
      <c r="B142" s="42">
        <v>2447</v>
      </c>
      <c r="C142" s="42">
        <v>600080111</v>
      </c>
      <c r="D142" s="42">
        <v>72744961</v>
      </c>
      <c r="E142" s="301" t="s">
        <v>506</v>
      </c>
      <c r="F142" s="42"/>
      <c r="G142" s="301"/>
      <c r="H142" s="129"/>
      <c r="I142" s="667">
        <f t="shared" ref="I142:AR142" si="252">SUM(I139:I141)</f>
        <v>3924961</v>
      </c>
      <c r="J142" s="572">
        <f t="shared" si="252"/>
        <v>2911692</v>
      </c>
      <c r="K142" s="351">
        <f t="shared" si="252"/>
        <v>984152</v>
      </c>
      <c r="L142" s="351">
        <f t="shared" si="252"/>
        <v>29117</v>
      </c>
      <c r="M142" s="572">
        <f t="shared" si="252"/>
        <v>0</v>
      </c>
      <c r="N142" s="767">
        <f t="shared" si="252"/>
        <v>4.7865000000000002</v>
      </c>
      <c r="O142" s="672">
        <f t="shared" si="252"/>
        <v>-18000</v>
      </c>
      <c r="P142" s="466">
        <f t="shared" si="252"/>
        <v>251404</v>
      </c>
      <c r="Q142" s="351">
        <f t="shared" si="252"/>
        <v>0</v>
      </c>
      <c r="R142" s="351">
        <f t="shared" si="252"/>
        <v>0</v>
      </c>
      <c r="S142" s="351">
        <f t="shared" si="252"/>
        <v>0</v>
      </c>
      <c r="T142" s="351">
        <f t="shared" si="252"/>
        <v>0</v>
      </c>
      <c r="U142" s="351">
        <f t="shared" si="252"/>
        <v>233404</v>
      </c>
      <c r="V142" s="351">
        <f t="shared" si="252"/>
        <v>18000</v>
      </c>
      <c r="W142" s="351">
        <f t="shared" si="252"/>
        <v>0</v>
      </c>
      <c r="X142" s="351">
        <f t="shared" si="252"/>
        <v>0</v>
      </c>
      <c r="Y142" s="351">
        <f t="shared" si="252"/>
        <v>18000</v>
      </c>
      <c r="Z142" s="351">
        <f t="shared" si="252"/>
        <v>251404</v>
      </c>
      <c r="AA142" s="351">
        <f t="shared" si="252"/>
        <v>84975</v>
      </c>
      <c r="AB142" s="351">
        <f t="shared" si="252"/>
        <v>2334</v>
      </c>
      <c r="AC142" s="351">
        <f t="shared" si="252"/>
        <v>0</v>
      </c>
      <c r="AD142" s="845">
        <f t="shared" si="252"/>
        <v>338713</v>
      </c>
      <c r="AE142" s="853">
        <f t="shared" si="252"/>
        <v>0</v>
      </c>
      <c r="AF142" s="768">
        <f t="shared" si="252"/>
        <v>0.6</v>
      </c>
      <c r="AG142" s="768">
        <f t="shared" si="252"/>
        <v>0</v>
      </c>
      <c r="AH142" s="768">
        <f t="shared" si="252"/>
        <v>0</v>
      </c>
      <c r="AI142" s="352">
        <f t="shared" si="252"/>
        <v>0</v>
      </c>
      <c r="AJ142" s="352">
        <f t="shared" si="252"/>
        <v>0</v>
      </c>
      <c r="AK142" s="204">
        <f t="shared" si="252"/>
        <v>0.6</v>
      </c>
      <c r="AL142" s="672">
        <f t="shared" si="252"/>
        <v>4263674</v>
      </c>
      <c r="AM142" s="466">
        <f t="shared" si="252"/>
        <v>3145096</v>
      </c>
      <c r="AN142" s="351">
        <f t="shared" si="252"/>
        <v>18000</v>
      </c>
      <c r="AO142" s="351">
        <f t="shared" si="252"/>
        <v>1069127</v>
      </c>
      <c r="AP142" s="351">
        <f t="shared" si="252"/>
        <v>31451</v>
      </c>
      <c r="AQ142" s="351">
        <f t="shared" si="252"/>
        <v>0</v>
      </c>
      <c r="AR142" s="204">
        <f t="shared" si="252"/>
        <v>5.3864999999999998</v>
      </c>
    </row>
    <row r="143" spans="1:44" ht="12.95" customHeight="1" x14ac:dyDescent="0.25">
      <c r="A143" s="205">
        <v>37</v>
      </c>
      <c r="B143" s="143">
        <v>5455</v>
      </c>
      <c r="C143" s="143">
        <v>600099067</v>
      </c>
      <c r="D143" s="206">
        <v>70986088</v>
      </c>
      <c r="E143" s="294" t="s">
        <v>507</v>
      </c>
      <c r="F143" s="305">
        <v>3111</v>
      </c>
      <c r="G143" s="296" t="s">
        <v>290</v>
      </c>
      <c r="H143" s="210" t="s">
        <v>262</v>
      </c>
      <c r="I143" s="586">
        <f t="shared" ref="I143:I150" si="253">SUM(J143:M143)</f>
        <v>3030200</v>
      </c>
      <c r="J143" s="490">
        <v>2247923</v>
      </c>
      <c r="K143" s="55">
        <f t="shared" ref="K143:K150" si="254">ROUND(J143*33.8%,0)</f>
        <v>759798</v>
      </c>
      <c r="L143" s="55">
        <f t="shared" ref="L143:L150" si="255">ROUND(J143*1%,0)</f>
        <v>22479</v>
      </c>
      <c r="M143" s="490">
        <v>0</v>
      </c>
      <c r="N143" s="752">
        <v>4</v>
      </c>
      <c r="O143" s="555">
        <f>V143*-1</f>
        <v>0</v>
      </c>
      <c r="P143" s="578">
        <v>0</v>
      </c>
      <c r="Q143" s="325">
        <v>0</v>
      </c>
      <c r="R143" s="325">
        <v>0</v>
      </c>
      <c r="S143" s="325">
        <v>0</v>
      </c>
      <c r="T143" s="325">
        <v>0</v>
      </c>
      <c r="U143" s="492">
        <f>O143+P143+Q143+R143+S143+T143</f>
        <v>0</v>
      </c>
      <c r="V143" s="325">
        <v>0</v>
      </c>
      <c r="W143" s="325">
        <v>0</v>
      </c>
      <c r="X143" s="325">
        <v>0</v>
      </c>
      <c r="Y143" s="492">
        <f t="shared" ref="Y143:Y145" si="256">V143+W143+X143</f>
        <v>0</v>
      </c>
      <c r="Z143" s="492">
        <f t="shared" ref="Z143:Z145" si="257">U143+Y143</f>
        <v>0</v>
      </c>
      <c r="AA143" s="494">
        <f t="shared" ref="AA143:AA145" si="258">ROUND((U143+Y143)*33.8%,0)</f>
        <v>0</v>
      </c>
      <c r="AB143" s="494">
        <f t="shared" ref="AB143:AB145" si="259">ROUND(U143*1%,0)</f>
        <v>0</v>
      </c>
      <c r="AC143" s="492">
        <v>0</v>
      </c>
      <c r="AD143" s="789">
        <f t="shared" ref="AD143:AD145" si="260">Z143+AA143+AB143+AC143</f>
        <v>0</v>
      </c>
      <c r="AE143" s="851">
        <v>0</v>
      </c>
      <c r="AF143" s="764">
        <v>0</v>
      </c>
      <c r="AG143" s="763">
        <v>0</v>
      </c>
      <c r="AH143" s="763">
        <v>0</v>
      </c>
      <c r="AI143" s="326">
        <v>0</v>
      </c>
      <c r="AJ143" s="326">
        <v>0</v>
      </c>
      <c r="AK143" s="626">
        <f>SUM(AE143:AJ143)</f>
        <v>0</v>
      </c>
      <c r="AL143" s="696">
        <f>I143+AD143</f>
        <v>3030200</v>
      </c>
      <c r="AM143" s="492">
        <f>J143+U143</f>
        <v>2247923</v>
      </c>
      <c r="AN143" s="492">
        <f>Y143</f>
        <v>0</v>
      </c>
      <c r="AO143" s="492">
        <f t="shared" ref="AO143:AQ145" si="261">K143+AA143</f>
        <v>759798</v>
      </c>
      <c r="AP143" s="492">
        <f t="shared" si="261"/>
        <v>22479</v>
      </c>
      <c r="AQ143" s="492">
        <f t="shared" si="261"/>
        <v>0</v>
      </c>
      <c r="AR143" s="626">
        <f>N143+AK143</f>
        <v>4</v>
      </c>
    </row>
    <row r="144" spans="1:44" ht="12.95" customHeight="1" x14ac:dyDescent="0.25">
      <c r="A144" s="205">
        <v>37</v>
      </c>
      <c r="B144" s="304">
        <v>5455</v>
      </c>
      <c r="C144" s="304">
        <v>600099067</v>
      </c>
      <c r="D144" s="206">
        <v>70986088</v>
      </c>
      <c r="E144" s="312" t="s">
        <v>507</v>
      </c>
      <c r="F144" s="304">
        <v>3117</v>
      </c>
      <c r="G144" s="295" t="s">
        <v>294</v>
      </c>
      <c r="H144" s="210" t="s">
        <v>262</v>
      </c>
      <c r="I144" s="586">
        <f t="shared" si="253"/>
        <v>2704141</v>
      </c>
      <c r="J144" s="490">
        <v>2006039</v>
      </c>
      <c r="K144" s="55">
        <f t="shared" si="254"/>
        <v>678041</v>
      </c>
      <c r="L144" s="55">
        <f>ROUND(J144*1%,0)+1</f>
        <v>20061</v>
      </c>
      <c r="M144" s="490">
        <v>0</v>
      </c>
      <c r="N144" s="752">
        <v>2.3182</v>
      </c>
      <c r="O144" s="327">
        <f>V144*-1</f>
        <v>0</v>
      </c>
      <c r="P144" s="578">
        <v>0</v>
      </c>
      <c r="Q144" s="325">
        <v>0</v>
      </c>
      <c r="R144" s="325">
        <v>0</v>
      </c>
      <c r="S144" s="325">
        <v>0</v>
      </c>
      <c r="T144" s="325">
        <v>0</v>
      </c>
      <c r="U144" s="492">
        <f>O144+P144+Q144+R144+S144+T144</f>
        <v>0</v>
      </c>
      <c r="V144" s="325">
        <v>0</v>
      </c>
      <c r="W144" s="325">
        <v>52397</v>
      </c>
      <c r="X144" s="325">
        <v>0</v>
      </c>
      <c r="Y144" s="492">
        <f t="shared" si="256"/>
        <v>52397</v>
      </c>
      <c r="Z144" s="492">
        <f t="shared" si="257"/>
        <v>52397</v>
      </c>
      <c r="AA144" s="494">
        <f t="shared" si="258"/>
        <v>17710</v>
      </c>
      <c r="AB144" s="494">
        <f t="shared" si="259"/>
        <v>0</v>
      </c>
      <c r="AC144" s="492">
        <v>0</v>
      </c>
      <c r="AD144" s="789">
        <f t="shared" si="260"/>
        <v>70107</v>
      </c>
      <c r="AE144" s="851">
        <v>0</v>
      </c>
      <c r="AF144" s="764">
        <v>0</v>
      </c>
      <c r="AG144" s="763">
        <v>0</v>
      </c>
      <c r="AH144" s="763">
        <v>0</v>
      </c>
      <c r="AI144" s="326">
        <v>0</v>
      </c>
      <c r="AJ144" s="326">
        <v>0</v>
      </c>
      <c r="AK144" s="626">
        <f>SUM(AE144:AJ144)</f>
        <v>0</v>
      </c>
      <c r="AL144" s="696">
        <f>I144+AD144</f>
        <v>2774248</v>
      </c>
      <c r="AM144" s="492">
        <f>J144+U144</f>
        <v>2006039</v>
      </c>
      <c r="AN144" s="492">
        <f>Y144</f>
        <v>52397</v>
      </c>
      <c r="AO144" s="492">
        <f t="shared" si="261"/>
        <v>695751</v>
      </c>
      <c r="AP144" s="492">
        <f t="shared" si="261"/>
        <v>20061</v>
      </c>
      <c r="AQ144" s="492">
        <f t="shared" si="261"/>
        <v>0</v>
      </c>
      <c r="AR144" s="626">
        <f>N144+AK144</f>
        <v>2.3182</v>
      </c>
    </row>
    <row r="145" spans="1:44" ht="12.95" customHeight="1" x14ac:dyDescent="0.25">
      <c r="A145" s="205">
        <v>37</v>
      </c>
      <c r="B145" s="143">
        <v>5455</v>
      </c>
      <c r="C145" s="143">
        <v>600099067</v>
      </c>
      <c r="D145" s="206">
        <v>70986088</v>
      </c>
      <c r="E145" s="294" t="s">
        <v>507</v>
      </c>
      <c r="F145" s="305">
        <v>3143</v>
      </c>
      <c r="G145" s="248" t="s">
        <v>795</v>
      </c>
      <c r="H145" s="210" t="s">
        <v>262</v>
      </c>
      <c r="I145" s="586">
        <f t="shared" si="253"/>
        <v>649935</v>
      </c>
      <c r="J145" s="490">
        <v>482148</v>
      </c>
      <c r="K145" s="55">
        <f t="shared" si="254"/>
        <v>162966</v>
      </c>
      <c r="L145" s="55">
        <f t="shared" si="255"/>
        <v>4821</v>
      </c>
      <c r="M145" s="490">
        <v>0</v>
      </c>
      <c r="N145" s="752">
        <v>0.84850000000000003</v>
      </c>
      <c r="O145" s="327">
        <f>V145*-1</f>
        <v>0</v>
      </c>
      <c r="P145" s="578">
        <v>0</v>
      </c>
      <c r="Q145" s="325">
        <v>0</v>
      </c>
      <c r="R145" s="325">
        <v>0</v>
      </c>
      <c r="S145" s="325">
        <v>0</v>
      </c>
      <c r="T145" s="325">
        <v>0</v>
      </c>
      <c r="U145" s="492">
        <f>O145+P145+Q145+R145+S145+T145</f>
        <v>0</v>
      </c>
      <c r="V145" s="325">
        <v>0</v>
      </c>
      <c r="W145" s="325">
        <v>0</v>
      </c>
      <c r="X145" s="325">
        <v>0</v>
      </c>
      <c r="Y145" s="492">
        <f t="shared" si="256"/>
        <v>0</v>
      </c>
      <c r="Z145" s="492">
        <f t="shared" si="257"/>
        <v>0</v>
      </c>
      <c r="AA145" s="494">
        <f t="shared" si="258"/>
        <v>0</v>
      </c>
      <c r="AB145" s="494">
        <f t="shared" si="259"/>
        <v>0</v>
      </c>
      <c r="AC145" s="492">
        <v>0</v>
      </c>
      <c r="AD145" s="789">
        <f t="shared" si="260"/>
        <v>0</v>
      </c>
      <c r="AE145" s="851">
        <v>0</v>
      </c>
      <c r="AF145" s="764">
        <v>0</v>
      </c>
      <c r="AG145" s="763">
        <v>0</v>
      </c>
      <c r="AH145" s="763">
        <v>0</v>
      </c>
      <c r="AI145" s="326">
        <v>0</v>
      </c>
      <c r="AJ145" s="326">
        <v>0</v>
      </c>
      <c r="AK145" s="626">
        <f>SUM(AE145:AJ145)</f>
        <v>0</v>
      </c>
      <c r="AL145" s="696">
        <f>I145+AD145</f>
        <v>649935</v>
      </c>
      <c r="AM145" s="492">
        <f>J145+U145</f>
        <v>482148</v>
      </c>
      <c r="AN145" s="492">
        <f>Y145</f>
        <v>0</v>
      </c>
      <c r="AO145" s="492">
        <f t="shared" si="261"/>
        <v>162966</v>
      </c>
      <c r="AP145" s="492">
        <f t="shared" si="261"/>
        <v>4821</v>
      </c>
      <c r="AQ145" s="492">
        <f t="shared" si="261"/>
        <v>0</v>
      </c>
      <c r="AR145" s="626">
        <f>N145+AK145</f>
        <v>0.84850000000000003</v>
      </c>
    </row>
    <row r="146" spans="1:44" ht="12.95" customHeight="1" x14ac:dyDescent="0.25">
      <c r="A146" s="145">
        <v>37</v>
      </c>
      <c r="B146" s="41">
        <v>5455</v>
      </c>
      <c r="C146" s="41">
        <v>600099067</v>
      </c>
      <c r="D146" s="41">
        <v>70986088</v>
      </c>
      <c r="E146" s="306" t="s">
        <v>508</v>
      </c>
      <c r="F146" s="307"/>
      <c r="G146" s="306"/>
      <c r="H146" s="308"/>
      <c r="I146" s="666">
        <f t="shared" ref="I146:AR146" si="262">SUM(I143:I145)</f>
        <v>6384276</v>
      </c>
      <c r="J146" s="571">
        <f t="shared" si="262"/>
        <v>4736110</v>
      </c>
      <c r="K146" s="366">
        <f t="shared" si="262"/>
        <v>1600805</v>
      </c>
      <c r="L146" s="366">
        <f t="shared" si="262"/>
        <v>47361</v>
      </c>
      <c r="M146" s="571">
        <f t="shared" si="262"/>
        <v>0</v>
      </c>
      <c r="N146" s="765">
        <f t="shared" si="262"/>
        <v>7.1667000000000005</v>
      </c>
      <c r="O146" s="671">
        <f t="shared" si="262"/>
        <v>0</v>
      </c>
      <c r="P146" s="465">
        <f t="shared" si="262"/>
        <v>0</v>
      </c>
      <c r="Q146" s="366">
        <f t="shared" si="262"/>
        <v>0</v>
      </c>
      <c r="R146" s="366">
        <f t="shared" si="262"/>
        <v>0</v>
      </c>
      <c r="S146" s="366">
        <f t="shared" si="262"/>
        <v>0</v>
      </c>
      <c r="T146" s="366">
        <f t="shared" si="262"/>
        <v>0</v>
      </c>
      <c r="U146" s="366">
        <f t="shared" si="262"/>
        <v>0</v>
      </c>
      <c r="V146" s="366">
        <f t="shared" si="262"/>
        <v>0</v>
      </c>
      <c r="W146" s="366">
        <f t="shared" si="262"/>
        <v>52397</v>
      </c>
      <c r="X146" s="366">
        <f t="shared" si="262"/>
        <v>0</v>
      </c>
      <c r="Y146" s="366">
        <f t="shared" si="262"/>
        <v>52397</v>
      </c>
      <c r="Z146" s="366">
        <f t="shared" si="262"/>
        <v>52397</v>
      </c>
      <c r="AA146" s="366">
        <f t="shared" si="262"/>
        <v>17710</v>
      </c>
      <c r="AB146" s="366">
        <f t="shared" si="262"/>
        <v>0</v>
      </c>
      <c r="AC146" s="366">
        <f t="shared" si="262"/>
        <v>0</v>
      </c>
      <c r="AD146" s="844">
        <f t="shared" si="262"/>
        <v>70107</v>
      </c>
      <c r="AE146" s="852">
        <f t="shared" si="262"/>
        <v>0</v>
      </c>
      <c r="AF146" s="766">
        <f t="shared" si="262"/>
        <v>0</v>
      </c>
      <c r="AG146" s="766">
        <f t="shared" si="262"/>
        <v>0</v>
      </c>
      <c r="AH146" s="766">
        <f t="shared" si="262"/>
        <v>0</v>
      </c>
      <c r="AI146" s="367">
        <f t="shared" si="262"/>
        <v>0</v>
      </c>
      <c r="AJ146" s="367">
        <f t="shared" si="262"/>
        <v>0</v>
      </c>
      <c r="AK146" s="298">
        <f t="shared" si="262"/>
        <v>0</v>
      </c>
      <c r="AL146" s="671">
        <f t="shared" si="262"/>
        <v>6454383</v>
      </c>
      <c r="AM146" s="465">
        <f t="shared" si="262"/>
        <v>4736110</v>
      </c>
      <c r="AN146" s="366">
        <f t="shared" si="262"/>
        <v>52397</v>
      </c>
      <c r="AO146" s="366">
        <f t="shared" si="262"/>
        <v>1618515</v>
      </c>
      <c r="AP146" s="366">
        <f t="shared" si="262"/>
        <v>47361</v>
      </c>
      <c r="AQ146" s="366">
        <f t="shared" si="262"/>
        <v>0</v>
      </c>
      <c r="AR146" s="298">
        <f t="shared" si="262"/>
        <v>7.1667000000000005</v>
      </c>
    </row>
    <row r="147" spans="1:44" ht="12.95" customHeight="1" x14ac:dyDescent="0.25">
      <c r="A147" s="205">
        <v>38</v>
      </c>
      <c r="B147" s="143">
        <v>5470</v>
      </c>
      <c r="C147" s="143">
        <v>600099091</v>
      </c>
      <c r="D147" s="206">
        <v>70695822</v>
      </c>
      <c r="E147" s="295" t="s">
        <v>509</v>
      </c>
      <c r="F147" s="143">
        <v>3111</v>
      </c>
      <c r="G147" s="296" t="s">
        <v>290</v>
      </c>
      <c r="H147" s="210" t="s">
        <v>262</v>
      </c>
      <c r="I147" s="586">
        <f t="shared" si="253"/>
        <v>2914930</v>
      </c>
      <c r="J147" s="490">
        <v>2162411</v>
      </c>
      <c r="K147" s="55">
        <f t="shared" si="254"/>
        <v>730895</v>
      </c>
      <c r="L147" s="55">
        <f t="shared" si="255"/>
        <v>21624</v>
      </c>
      <c r="M147" s="490">
        <v>0</v>
      </c>
      <c r="N147" s="752">
        <v>3.9032</v>
      </c>
      <c r="O147" s="555">
        <f t="shared" ref="O147:O150" si="263">V147*-1</f>
        <v>0</v>
      </c>
      <c r="P147" s="578">
        <v>0</v>
      </c>
      <c r="Q147" s="325">
        <v>0</v>
      </c>
      <c r="R147" s="325">
        <v>0</v>
      </c>
      <c r="S147" s="325">
        <v>0</v>
      </c>
      <c r="T147" s="325">
        <v>0</v>
      </c>
      <c r="U147" s="492">
        <f>O147+P147+Q147+R147+S147+T147</f>
        <v>0</v>
      </c>
      <c r="V147" s="325">
        <v>0</v>
      </c>
      <c r="W147" s="325">
        <v>0</v>
      </c>
      <c r="X147" s="325">
        <v>0</v>
      </c>
      <c r="Y147" s="492">
        <f t="shared" ref="Y147:Y150" si="264">V147+W147+X147</f>
        <v>0</v>
      </c>
      <c r="Z147" s="492">
        <f t="shared" ref="Z147:Z150" si="265">U147+Y147</f>
        <v>0</v>
      </c>
      <c r="AA147" s="494">
        <f t="shared" ref="AA147:AA150" si="266">ROUND((U147+Y147)*33.8%,0)</f>
        <v>0</v>
      </c>
      <c r="AB147" s="494">
        <f t="shared" ref="AB147:AB150" si="267">ROUND(U147*1%,0)</f>
        <v>0</v>
      </c>
      <c r="AC147" s="492">
        <v>0</v>
      </c>
      <c r="AD147" s="789">
        <f t="shared" ref="AD147:AD150" si="268">Z147+AA147+AB147+AC147</f>
        <v>0</v>
      </c>
      <c r="AE147" s="851">
        <v>0</v>
      </c>
      <c r="AF147" s="764">
        <v>0</v>
      </c>
      <c r="AG147" s="763">
        <v>0</v>
      </c>
      <c r="AH147" s="763">
        <v>0</v>
      </c>
      <c r="AI147" s="326">
        <v>0</v>
      </c>
      <c r="AJ147" s="326">
        <v>0</v>
      </c>
      <c r="AK147" s="626">
        <f>SUM(AE147:AJ147)</f>
        <v>0</v>
      </c>
      <c r="AL147" s="696">
        <f>I147+AD147</f>
        <v>2914930</v>
      </c>
      <c r="AM147" s="492">
        <f>J147+U147</f>
        <v>2162411</v>
      </c>
      <c r="AN147" s="492">
        <f>Y147</f>
        <v>0</v>
      </c>
      <c r="AO147" s="492">
        <f t="shared" ref="AO147:AQ150" si="269">K147+AA147</f>
        <v>730895</v>
      </c>
      <c r="AP147" s="492">
        <f t="shared" si="269"/>
        <v>21624</v>
      </c>
      <c r="AQ147" s="492">
        <f t="shared" si="269"/>
        <v>0</v>
      </c>
      <c r="AR147" s="626">
        <f>N147+AK147</f>
        <v>3.9032</v>
      </c>
    </row>
    <row r="148" spans="1:44" ht="12.95" customHeight="1" x14ac:dyDescent="0.25">
      <c r="A148" s="205">
        <v>38</v>
      </c>
      <c r="B148" s="143">
        <v>5470</v>
      </c>
      <c r="C148" s="143">
        <v>600099091</v>
      </c>
      <c r="D148" s="206">
        <v>70695822</v>
      </c>
      <c r="E148" s="295" t="s">
        <v>509</v>
      </c>
      <c r="F148" s="143">
        <v>3117</v>
      </c>
      <c r="G148" s="295" t="s">
        <v>294</v>
      </c>
      <c r="H148" s="210" t="s">
        <v>262</v>
      </c>
      <c r="I148" s="586">
        <f t="shared" si="253"/>
        <v>5760687</v>
      </c>
      <c r="J148" s="490">
        <v>4273507</v>
      </c>
      <c r="K148" s="55">
        <f t="shared" si="254"/>
        <v>1444445</v>
      </c>
      <c r="L148" s="55">
        <f t="shared" si="255"/>
        <v>42735</v>
      </c>
      <c r="M148" s="490">
        <v>0</v>
      </c>
      <c r="N148" s="752">
        <v>6.3409000000000004</v>
      </c>
      <c r="O148" s="327">
        <f t="shared" si="263"/>
        <v>-12000</v>
      </c>
      <c r="P148" s="578">
        <v>0</v>
      </c>
      <c r="Q148" s="325">
        <v>0</v>
      </c>
      <c r="R148" s="325">
        <v>0</v>
      </c>
      <c r="S148" s="325">
        <v>0</v>
      </c>
      <c r="T148" s="325">
        <v>0</v>
      </c>
      <c r="U148" s="492">
        <f>O148+P148+Q148+R148+S148+T148</f>
        <v>-12000</v>
      </c>
      <c r="V148" s="325">
        <v>12000</v>
      </c>
      <c r="W148" s="325">
        <v>0</v>
      </c>
      <c r="X148" s="325">
        <v>0</v>
      </c>
      <c r="Y148" s="492">
        <f t="shared" si="264"/>
        <v>12000</v>
      </c>
      <c r="Z148" s="492">
        <f t="shared" si="265"/>
        <v>0</v>
      </c>
      <c r="AA148" s="494">
        <f t="shared" si="266"/>
        <v>0</v>
      </c>
      <c r="AB148" s="494">
        <f t="shared" si="267"/>
        <v>-120</v>
      </c>
      <c r="AC148" s="492">
        <v>0</v>
      </c>
      <c r="AD148" s="789">
        <f t="shared" si="268"/>
        <v>-120</v>
      </c>
      <c r="AE148" s="851">
        <v>-0.01</v>
      </c>
      <c r="AF148" s="764">
        <v>0</v>
      </c>
      <c r="AG148" s="763">
        <v>0</v>
      </c>
      <c r="AH148" s="763">
        <v>0</v>
      </c>
      <c r="AI148" s="326">
        <v>0</v>
      </c>
      <c r="AJ148" s="326">
        <v>0</v>
      </c>
      <c r="AK148" s="626">
        <f>SUM(AE148:AJ148)</f>
        <v>-0.01</v>
      </c>
      <c r="AL148" s="696">
        <f>I148+AD148</f>
        <v>5760567</v>
      </c>
      <c r="AM148" s="492">
        <f>J148+U148</f>
        <v>4261507</v>
      </c>
      <c r="AN148" s="492">
        <f>Y148</f>
        <v>12000</v>
      </c>
      <c r="AO148" s="492">
        <f t="shared" si="269"/>
        <v>1444445</v>
      </c>
      <c r="AP148" s="492">
        <f t="shared" si="269"/>
        <v>42615</v>
      </c>
      <c r="AQ148" s="492">
        <f t="shared" si="269"/>
        <v>0</v>
      </c>
      <c r="AR148" s="626">
        <f>N148+AK148</f>
        <v>6.3309000000000006</v>
      </c>
    </row>
    <row r="149" spans="1:44" ht="12.95" customHeight="1" x14ac:dyDescent="0.25">
      <c r="A149" s="205">
        <v>38</v>
      </c>
      <c r="B149" s="299">
        <v>5470</v>
      </c>
      <c r="C149" s="299">
        <v>600099091</v>
      </c>
      <c r="D149" s="206">
        <v>70695822</v>
      </c>
      <c r="E149" s="295" t="s">
        <v>509</v>
      </c>
      <c r="F149" s="143">
        <v>3117</v>
      </c>
      <c r="G149" s="248" t="s">
        <v>278</v>
      </c>
      <c r="H149" s="210" t="s">
        <v>263</v>
      </c>
      <c r="I149" s="586">
        <f t="shared" si="253"/>
        <v>0</v>
      </c>
      <c r="J149" s="490">
        <v>0</v>
      </c>
      <c r="K149" s="55">
        <f t="shared" si="254"/>
        <v>0</v>
      </c>
      <c r="L149" s="55">
        <f t="shared" si="255"/>
        <v>0</v>
      </c>
      <c r="M149" s="490">
        <v>0</v>
      </c>
      <c r="N149" s="752">
        <v>0</v>
      </c>
      <c r="O149" s="327">
        <f t="shared" si="263"/>
        <v>0</v>
      </c>
      <c r="P149" s="578">
        <v>1029640</v>
      </c>
      <c r="Q149" s="325">
        <v>0</v>
      </c>
      <c r="R149" s="325">
        <v>0</v>
      </c>
      <c r="S149" s="325">
        <v>0</v>
      </c>
      <c r="T149" s="325">
        <v>0</v>
      </c>
      <c r="U149" s="492">
        <f>O149+P149+Q149+R149+S149+T149</f>
        <v>1029640</v>
      </c>
      <c r="V149" s="325">
        <v>0</v>
      </c>
      <c r="W149" s="325">
        <v>0</v>
      </c>
      <c r="X149" s="325">
        <v>0</v>
      </c>
      <c r="Y149" s="492">
        <f t="shared" si="264"/>
        <v>0</v>
      </c>
      <c r="Z149" s="492">
        <f t="shared" si="265"/>
        <v>1029640</v>
      </c>
      <c r="AA149" s="494">
        <f t="shared" si="266"/>
        <v>348018</v>
      </c>
      <c r="AB149" s="494">
        <f t="shared" si="267"/>
        <v>10296</v>
      </c>
      <c r="AC149" s="492">
        <v>0</v>
      </c>
      <c r="AD149" s="789">
        <f t="shared" si="268"/>
        <v>1387954</v>
      </c>
      <c r="AE149" s="851">
        <v>0</v>
      </c>
      <c r="AF149" s="764">
        <v>2.58</v>
      </c>
      <c r="AG149" s="763">
        <v>0</v>
      </c>
      <c r="AH149" s="763">
        <v>0</v>
      </c>
      <c r="AI149" s="326">
        <v>0</v>
      </c>
      <c r="AJ149" s="326">
        <v>0</v>
      </c>
      <c r="AK149" s="626">
        <f>SUM(AE149:AJ149)</f>
        <v>2.58</v>
      </c>
      <c r="AL149" s="696">
        <f>I149+AD149</f>
        <v>1387954</v>
      </c>
      <c r="AM149" s="492">
        <f>J149+U149</f>
        <v>1029640</v>
      </c>
      <c r="AN149" s="492">
        <f>Y149</f>
        <v>0</v>
      </c>
      <c r="AO149" s="492">
        <f t="shared" si="269"/>
        <v>348018</v>
      </c>
      <c r="AP149" s="492">
        <f t="shared" si="269"/>
        <v>10296</v>
      </c>
      <c r="AQ149" s="492">
        <f t="shared" si="269"/>
        <v>0</v>
      </c>
      <c r="AR149" s="626">
        <f>N149+AK149</f>
        <v>2.58</v>
      </c>
    </row>
    <row r="150" spans="1:44" ht="12.95" customHeight="1" x14ac:dyDescent="0.25">
      <c r="A150" s="205">
        <v>38</v>
      </c>
      <c r="B150" s="299">
        <v>5470</v>
      </c>
      <c r="C150" s="299">
        <v>600099091</v>
      </c>
      <c r="D150" s="206">
        <v>70695822</v>
      </c>
      <c r="E150" s="295" t="s">
        <v>509</v>
      </c>
      <c r="F150" s="143">
        <v>3143</v>
      </c>
      <c r="G150" s="248" t="s">
        <v>794</v>
      </c>
      <c r="H150" s="210" t="s">
        <v>262</v>
      </c>
      <c r="I150" s="586">
        <f t="shared" si="253"/>
        <v>1110218</v>
      </c>
      <c r="J150" s="490">
        <v>823604</v>
      </c>
      <c r="K150" s="55">
        <f t="shared" si="254"/>
        <v>278378</v>
      </c>
      <c r="L150" s="55">
        <f t="shared" si="255"/>
        <v>8236</v>
      </c>
      <c r="M150" s="490">
        <v>0</v>
      </c>
      <c r="N150" s="752">
        <v>1.6225000000000001</v>
      </c>
      <c r="O150" s="327">
        <f t="shared" si="263"/>
        <v>0</v>
      </c>
      <c r="P150" s="578">
        <v>0</v>
      </c>
      <c r="Q150" s="325">
        <v>0</v>
      </c>
      <c r="R150" s="325">
        <v>0</v>
      </c>
      <c r="S150" s="325">
        <v>0</v>
      </c>
      <c r="T150" s="325">
        <v>0</v>
      </c>
      <c r="U150" s="492">
        <f>O150+P150+Q150+R150+S150+T150</f>
        <v>0</v>
      </c>
      <c r="V150" s="325">
        <v>0</v>
      </c>
      <c r="W150" s="325">
        <v>0</v>
      </c>
      <c r="X150" s="325">
        <v>0</v>
      </c>
      <c r="Y150" s="492">
        <f t="shared" si="264"/>
        <v>0</v>
      </c>
      <c r="Z150" s="492">
        <f t="shared" si="265"/>
        <v>0</v>
      </c>
      <c r="AA150" s="494">
        <f t="shared" si="266"/>
        <v>0</v>
      </c>
      <c r="AB150" s="494">
        <f t="shared" si="267"/>
        <v>0</v>
      </c>
      <c r="AC150" s="492">
        <v>0</v>
      </c>
      <c r="AD150" s="789">
        <f t="shared" si="268"/>
        <v>0</v>
      </c>
      <c r="AE150" s="851">
        <v>0</v>
      </c>
      <c r="AF150" s="764">
        <v>0</v>
      </c>
      <c r="AG150" s="763">
        <v>0</v>
      </c>
      <c r="AH150" s="763">
        <v>0</v>
      </c>
      <c r="AI150" s="326">
        <v>0</v>
      </c>
      <c r="AJ150" s="326">
        <v>0</v>
      </c>
      <c r="AK150" s="626">
        <f>SUM(AE150:AJ150)</f>
        <v>0</v>
      </c>
      <c r="AL150" s="696">
        <f>I150+AD150</f>
        <v>1110218</v>
      </c>
      <c r="AM150" s="492">
        <f>J150+U150</f>
        <v>823604</v>
      </c>
      <c r="AN150" s="492">
        <f>Y150</f>
        <v>0</v>
      </c>
      <c r="AO150" s="492">
        <f t="shared" si="269"/>
        <v>278378</v>
      </c>
      <c r="AP150" s="492">
        <f t="shared" si="269"/>
        <v>8236</v>
      </c>
      <c r="AQ150" s="492">
        <f t="shared" si="269"/>
        <v>0</v>
      </c>
      <c r="AR150" s="626">
        <f>N150+AK150</f>
        <v>1.6225000000000001</v>
      </c>
    </row>
    <row r="151" spans="1:44" ht="12.75" customHeight="1" thickBot="1" x14ac:dyDescent="0.3">
      <c r="A151" s="146">
        <v>38</v>
      </c>
      <c r="B151" s="118">
        <v>5470</v>
      </c>
      <c r="C151" s="118">
        <v>600099091</v>
      </c>
      <c r="D151" s="118">
        <v>70695822</v>
      </c>
      <c r="E151" s="313" t="s">
        <v>510</v>
      </c>
      <c r="F151" s="45"/>
      <c r="G151" s="313"/>
      <c r="H151" s="132"/>
      <c r="I151" s="670">
        <f t="shared" ref="I151:AR151" si="270">SUM(I147:I150)</f>
        <v>9785835</v>
      </c>
      <c r="J151" s="384">
        <f t="shared" si="270"/>
        <v>7259522</v>
      </c>
      <c r="K151" s="384">
        <f t="shared" si="270"/>
        <v>2453718</v>
      </c>
      <c r="L151" s="384">
        <f t="shared" si="270"/>
        <v>72595</v>
      </c>
      <c r="M151" s="384">
        <f t="shared" si="270"/>
        <v>0</v>
      </c>
      <c r="N151" s="843">
        <f t="shared" si="270"/>
        <v>11.8666</v>
      </c>
      <c r="O151" s="670">
        <f t="shared" si="270"/>
        <v>-12000</v>
      </c>
      <c r="P151" s="469">
        <f t="shared" si="270"/>
        <v>1029640</v>
      </c>
      <c r="Q151" s="384">
        <f t="shared" si="270"/>
        <v>0</v>
      </c>
      <c r="R151" s="384">
        <f t="shared" si="270"/>
        <v>0</v>
      </c>
      <c r="S151" s="384">
        <f t="shared" si="270"/>
        <v>0</v>
      </c>
      <c r="T151" s="384">
        <f t="shared" si="270"/>
        <v>0</v>
      </c>
      <c r="U151" s="384">
        <f t="shared" si="270"/>
        <v>1017640</v>
      </c>
      <c r="V151" s="384">
        <f t="shared" si="270"/>
        <v>12000</v>
      </c>
      <c r="W151" s="384">
        <f t="shared" si="270"/>
        <v>0</v>
      </c>
      <c r="X151" s="384">
        <f t="shared" si="270"/>
        <v>0</v>
      </c>
      <c r="Y151" s="384">
        <f t="shared" si="270"/>
        <v>12000</v>
      </c>
      <c r="Z151" s="384">
        <f t="shared" si="270"/>
        <v>1029640</v>
      </c>
      <c r="AA151" s="384">
        <f t="shared" si="270"/>
        <v>348018</v>
      </c>
      <c r="AB151" s="384">
        <f t="shared" si="270"/>
        <v>10176</v>
      </c>
      <c r="AC151" s="384">
        <f t="shared" si="270"/>
        <v>0</v>
      </c>
      <c r="AD151" s="848">
        <f t="shared" si="270"/>
        <v>1387834</v>
      </c>
      <c r="AE151" s="857">
        <f t="shared" si="270"/>
        <v>-0.01</v>
      </c>
      <c r="AF151" s="776">
        <f t="shared" si="270"/>
        <v>2.58</v>
      </c>
      <c r="AG151" s="776">
        <f t="shared" si="270"/>
        <v>0</v>
      </c>
      <c r="AH151" s="776">
        <f t="shared" si="270"/>
        <v>0</v>
      </c>
      <c r="AI151" s="385">
        <f t="shared" si="270"/>
        <v>0</v>
      </c>
      <c r="AJ151" s="385">
        <f t="shared" si="270"/>
        <v>0</v>
      </c>
      <c r="AK151" s="386">
        <f t="shared" si="270"/>
        <v>2.5700000000000003</v>
      </c>
      <c r="AL151" s="670">
        <f t="shared" si="270"/>
        <v>11173669</v>
      </c>
      <c r="AM151" s="469">
        <f t="shared" si="270"/>
        <v>8277162</v>
      </c>
      <c r="AN151" s="384">
        <f t="shared" si="270"/>
        <v>12000</v>
      </c>
      <c r="AO151" s="384">
        <f t="shared" si="270"/>
        <v>2801736</v>
      </c>
      <c r="AP151" s="384">
        <f t="shared" si="270"/>
        <v>82771</v>
      </c>
      <c r="AQ151" s="384">
        <f t="shared" si="270"/>
        <v>0</v>
      </c>
      <c r="AR151" s="386">
        <f t="shared" si="270"/>
        <v>14.436600000000002</v>
      </c>
    </row>
    <row r="152" spans="1:44" ht="12.75" customHeight="1" thickBot="1" x14ac:dyDescent="0.3">
      <c r="A152" s="314"/>
      <c r="B152" s="315"/>
      <c r="C152" s="315"/>
      <c r="D152" s="315"/>
      <c r="E152" s="230" t="s">
        <v>735</v>
      </c>
      <c r="F152" s="315"/>
      <c r="G152" s="316"/>
      <c r="H152" s="317"/>
      <c r="I152" s="363">
        <f t="shared" ref="I152:AR152" si="271">I151+I146+I142+I138+I133+I129+I126+I122+I120+I116+I114+I109+I106+I103+I99+I96+I92+I89+I84+I80+I77+I72+I69+I64+I62+I56+I52+I48+I43+I38+I36+I33+I31+I28+I25+I22+I19</f>
        <v>421163795</v>
      </c>
      <c r="J152" s="409">
        <f t="shared" si="271"/>
        <v>312436052</v>
      </c>
      <c r="K152" s="364">
        <f t="shared" si="271"/>
        <v>105603384</v>
      </c>
      <c r="L152" s="364">
        <f t="shared" si="271"/>
        <v>3124359</v>
      </c>
      <c r="M152" s="364">
        <f t="shared" si="271"/>
        <v>0</v>
      </c>
      <c r="N152" s="758">
        <f t="shared" si="271"/>
        <v>473.43319999999994</v>
      </c>
      <c r="O152" s="417">
        <f t="shared" si="271"/>
        <v>-535320</v>
      </c>
      <c r="P152" s="432">
        <f t="shared" si="271"/>
        <v>24196861</v>
      </c>
      <c r="Q152" s="432">
        <f t="shared" si="271"/>
        <v>197380</v>
      </c>
      <c r="R152" s="438">
        <f t="shared" si="271"/>
        <v>-748860</v>
      </c>
      <c r="S152" s="432">
        <f t="shared" si="271"/>
        <v>0</v>
      </c>
      <c r="T152" s="432">
        <f t="shared" si="271"/>
        <v>0</v>
      </c>
      <c r="U152" s="432">
        <f t="shared" si="271"/>
        <v>23110061</v>
      </c>
      <c r="V152" s="432">
        <f t="shared" si="271"/>
        <v>535320</v>
      </c>
      <c r="W152" s="432">
        <f t="shared" si="271"/>
        <v>133904</v>
      </c>
      <c r="X152" s="432">
        <f t="shared" si="271"/>
        <v>0</v>
      </c>
      <c r="Y152" s="432">
        <f t="shared" si="271"/>
        <v>669224</v>
      </c>
      <c r="Z152" s="432">
        <f t="shared" si="271"/>
        <v>23779285</v>
      </c>
      <c r="AA152" s="432">
        <f t="shared" si="271"/>
        <v>8037396</v>
      </c>
      <c r="AB152" s="432">
        <f t="shared" si="271"/>
        <v>231098</v>
      </c>
      <c r="AC152" s="432">
        <f t="shared" si="271"/>
        <v>0</v>
      </c>
      <c r="AD152" s="849">
        <f t="shared" si="271"/>
        <v>32047779</v>
      </c>
      <c r="AE152" s="858">
        <f>AE151+AE146+AE142+AE138+AE133+AE129+AE126+AE122+AE120+AE116+AE114+AE109+AE106+AE103+AE99+AE96+AE92+AE89+AE84+AE80+AE77+AE72+AE69+AE64+AE62+AE56+AE52+AE48+AE43+AE38+AE36+AE33+AE31+AE28+AE25+AE22+AE19</f>
        <v>-0.36000000000000004</v>
      </c>
      <c r="AF152" s="777">
        <f t="shared" si="271"/>
        <v>60.47</v>
      </c>
      <c r="AG152" s="778">
        <f t="shared" si="271"/>
        <v>-1</v>
      </c>
      <c r="AH152" s="777">
        <f t="shared" si="271"/>
        <v>0.30000000000000004</v>
      </c>
      <c r="AI152" s="433">
        <f t="shared" si="271"/>
        <v>0</v>
      </c>
      <c r="AJ152" s="433">
        <f t="shared" si="271"/>
        <v>0</v>
      </c>
      <c r="AK152" s="675">
        <f>AK151+AK146+AK142+AK138+AK133+AK129+AK126+AK122+AK120+AK116+AK114+AK109+AK106+AK103+AK99+AK96+AK92+AK89+AK84+AK80+AK77+AK72+AK69+AK64+AK62+AK56+AK52+AK48+AK43+AK38+AK36+AK33+AK31+AK28+AK25+AK22+AK19</f>
        <v>59.41</v>
      </c>
      <c r="AL152" s="417">
        <f t="shared" si="271"/>
        <v>453211574</v>
      </c>
      <c r="AM152" s="441">
        <f t="shared" si="271"/>
        <v>335546113</v>
      </c>
      <c r="AN152" s="432">
        <f t="shared" si="271"/>
        <v>669224</v>
      </c>
      <c r="AO152" s="432">
        <f t="shared" si="271"/>
        <v>113640780</v>
      </c>
      <c r="AP152" s="432">
        <f t="shared" si="271"/>
        <v>3355457</v>
      </c>
      <c r="AQ152" s="432">
        <f t="shared" si="271"/>
        <v>0</v>
      </c>
      <c r="AR152" s="675">
        <f t="shared" si="271"/>
        <v>532.84320000000002</v>
      </c>
    </row>
    <row r="153" spans="1:44" s="239" customFormat="1" ht="12.75" customHeight="1" x14ac:dyDescent="0.25">
      <c r="A153" s="318"/>
      <c r="B153" s="175"/>
      <c r="C153" s="175"/>
      <c r="D153" s="175"/>
      <c r="E153" s="235"/>
      <c r="F153" s="234"/>
      <c r="G153" s="175"/>
      <c r="H153" s="319"/>
      <c r="I153" s="328">
        <f>SUM(J152:M152)</f>
        <v>421163795</v>
      </c>
      <c r="J153" s="328"/>
      <c r="K153" s="328"/>
      <c r="L153" s="328"/>
      <c r="M153" s="328"/>
      <c r="N153" s="742"/>
      <c r="O153" s="328">
        <f>V152</f>
        <v>535320</v>
      </c>
      <c r="P153" s="329"/>
      <c r="Q153" s="329"/>
      <c r="R153" s="329"/>
      <c r="S153" s="328"/>
      <c r="T153" s="329"/>
      <c r="U153" s="330">
        <f>SUM(O152:T152)</f>
        <v>23110061</v>
      </c>
      <c r="V153" s="330">
        <f>O152</f>
        <v>-535320</v>
      </c>
      <c r="W153" s="331"/>
      <c r="X153" s="331"/>
      <c r="Y153" s="330">
        <f>SUM(V152:X152)</f>
        <v>669224</v>
      </c>
      <c r="Z153" s="330">
        <f>U152+Y152</f>
        <v>23779285</v>
      </c>
      <c r="AA153" s="332"/>
      <c r="AB153" s="332"/>
      <c r="AC153" s="330"/>
      <c r="AD153" s="330">
        <f>SUM(Z152:AC152)</f>
        <v>32047779</v>
      </c>
      <c r="AE153" s="333"/>
      <c r="AF153" s="333"/>
      <c r="AG153" s="333"/>
      <c r="AH153" s="333"/>
      <c r="AI153" s="381"/>
      <c r="AJ153" s="333"/>
      <c r="AK153" s="381">
        <f>SUM(AE152:AJ152)</f>
        <v>59.41</v>
      </c>
      <c r="AL153" s="328">
        <f>SUM(AM152:AQ152)</f>
        <v>453211574</v>
      </c>
      <c r="AM153" s="328"/>
      <c r="AN153" s="58"/>
      <c r="AO153" s="330"/>
      <c r="AP153" s="330"/>
      <c r="AQ153" s="330">
        <f>M152+AC152</f>
        <v>0</v>
      </c>
      <c r="AR153" s="329"/>
    </row>
    <row r="154" spans="1:44" s="239" customFormat="1" ht="12.75" customHeight="1" thickBot="1" x14ac:dyDescent="0.3">
      <c r="A154" s="318"/>
      <c r="B154" s="175"/>
      <c r="C154" s="175"/>
      <c r="D154" s="175"/>
      <c r="E154" s="175"/>
      <c r="F154" s="234"/>
      <c r="G154" s="175"/>
      <c r="H154" s="319"/>
      <c r="I154" s="328">
        <f>SUM(J155:M155)</f>
        <v>421163795</v>
      </c>
      <c r="J154" s="328"/>
      <c r="K154" s="328"/>
      <c r="L154" s="328"/>
      <c r="M154" s="328"/>
      <c r="N154" s="742"/>
      <c r="O154" s="328">
        <f>V155</f>
        <v>535320</v>
      </c>
      <c r="P154" s="329"/>
      <c r="Q154" s="329"/>
      <c r="R154" s="329"/>
      <c r="S154" s="328"/>
      <c r="T154" s="329"/>
      <c r="U154" s="330">
        <f>SUM(O155:T155)</f>
        <v>23110061</v>
      </c>
      <c r="V154" s="330"/>
      <c r="W154" s="331"/>
      <c r="X154" s="331"/>
      <c r="Y154" s="330">
        <f>SUM(V155:X155)</f>
        <v>669224</v>
      </c>
      <c r="Z154" s="330">
        <f>U155+Y155</f>
        <v>23779285</v>
      </c>
      <c r="AA154" s="332"/>
      <c r="AB154" s="332"/>
      <c r="AC154" s="330"/>
      <c r="AD154" s="330">
        <f>SUM(Z155:AC155)</f>
        <v>32047779</v>
      </c>
      <c r="AE154" s="333"/>
      <c r="AF154" s="333"/>
      <c r="AG154" s="333"/>
      <c r="AH154" s="333"/>
      <c r="AI154" s="381"/>
      <c r="AJ154" s="333"/>
      <c r="AK154" s="381">
        <f>SUM(AE155:AJ155)</f>
        <v>59.410000000000004</v>
      </c>
      <c r="AL154" s="328">
        <f>AM155+AN155+AO155+AP155+AQ155</f>
        <v>453211574</v>
      </c>
      <c r="AM154" s="328"/>
      <c r="AN154" s="58"/>
      <c r="AO154" s="48"/>
      <c r="AP154" s="48"/>
      <c r="AQ154" s="48"/>
      <c r="AR154" s="329"/>
    </row>
    <row r="155" spans="1:44" s="60" customFormat="1" ht="12.95" customHeight="1" thickBot="1" x14ac:dyDescent="0.3">
      <c r="A155" s="236"/>
      <c r="D155" s="236"/>
      <c r="E155" s="237"/>
      <c r="F155" s="236"/>
      <c r="G155" s="238"/>
      <c r="H155" s="338" t="s">
        <v>0</v>
      </c>
      <c r="I155" s="363">
        <f t="shared" ref="I155:AR155" si="272">SUM(I156:I165)</f>
        <v>421163795</v>
      </c>
      <c r="J155" s="364">
        <f t="shared" si="272"/>
        <v>312436052</v>
      </c>
      <c r="K155" s="364">
        <f t="shared" si="272"/>
        <v>105603384</v>
      </c>
      <c r="L155" s="364">
        <f t="shared" si="272"/>
        <v>3124359</v>
      </c>
      <c r="M155" s="364">
        <f t="shared" si="272"/>
        <v>0</v>
      </c>
      <c r="N155" s="608">
        <f t="shared" si="272"/>
        <v>473.4332</v>
      </c>
      <c r="O155" s="409">
        <f t="shared" si="272"/>
        <v>-535320</v>
      </c>
      <c r="P155" s="364">
        <f t="shared" si="272"/>
        <v>24196861</v>
      </c>
      <c r="Q155" s="364">
        <f t="shared" si="272"/>
        <v>197380</v>
      </c>
      <c r="R155" s="437">
        <f t="shared" si="272"/>
        <v>-748860</v>
      </c>
      <c r="S155" s="364">
        <f t="shared" si="272"/>
        <v>0</v>
      </c>
      <c r="T155" s="364">
        <f t="shared" si="272"/>
        <v>0</v>
      </c>
      <c r="U155" s="364">
        <f t="shared" si="272"/>
        <v>23110061</v>
      </c>
      <c r="V155" s="364">
        <f t="shared" si="272"/>
        <v>535320</v>
      </c>
      <c r="W155" s="364">
        <f t="shared" si="272"/>
        <v>133904</v>
      </c>
      <c r="X155" s="364">
        <f t="shared" si="272"/>
        <v>0</v>
      </c>
      <c r="Y155" s="364">
        <f t="shared" si="272"/>
        <v>669224</v>
      </c>
      <c r="Z155" s="364">
        <f t="shared" si="272"/>
        <v>23779285</v>
      </c>
      <c r="AA155" s="364">
        <f t="shared" si="272"/>
        <v>8037396</v>
      </c>
      <c r="AB155" s="364">
        <f t="shared" si="272"/>
        <v>231098</v>
      </c>
      <c r="AC155" s="364">
        <f t="shared" si="272"/>
        <v>0</v>
      </c>
      <c r="AD155" s="837">
        <f t="shared" si="272"/>
        <v>32047779</v>
      </c>
      <c r="AE155" s="841">
        <f t="shared" si="272"/>
        <v>-0.36000000000000004</v>
      </c>
      <c r="AF155" s="365">
        <f t="shared" si="272"/>
        <v>60.470000000000006</v>
      </c>
      <c r="AG155" s="365">
        <f t="shared" si="272"/>
        <v>-1</v>
      </c>
      <c r="AH155" s="365">
        <f t="shared" si="272"/>
        <v>0.30000000000000004</v>
      </c>
      <c r="AI155" s="365">
        <f t="shared" si="272"/>
        <v>0</v>
      </c>
      <c r="AJ155" s="365">
        <f t="shared" si="272"/>
        <v>0</v>
      </c>
      <c r="AK155" s="608">
        <f t="shared" si="272"/>
        <v>59.41</v>
      </c>
      <c r="AL155" s="363">
        <f t="shared" si="272"/>
        <v>453211574</v>
      </c>
      <c r="AM155" s="364">
        <f t="shared" si="272"/>
        <v>335546113</v>
      </c>
      <c r="AN155" s="364">
        <f t="shared" si="272"/>
        <v>669224</v>
      </c>
      <c r="AO155" s="364">
        <f t="shared" si="272"/>
        <v>113640780</v>
      </c>
      <c r="AP155" s="364">
        <f t="shared" si="272"/>
        <v>3355457</v>
      </c>
      <c r="AQ155" s="364">
        <f t="shared" si="272"/>
        <v>0</v>
      </c>
      <c r="AR155" s="608">
        <f t="shared" si="272"/>
        <v>532.84320000000002</v>
      </c>
    </row>
    <row r="156" spans="1:44" s="60" customFormat="1" ht="12.95" customHeight="1" x14ac:dyDescent="0.25">
      <c r="A156" s="236"/>
      <c r="D156" s="236"/>
      <c r="E156" s="320"/>
      <c r="F156" s="236"/>
      <c r="G156" s="238"/>
      <c r="H156" s="339">
        <v>3111</v>
      </c>
      <c r="I156" s="370">
        <f t="shared" ref="I156:AR156" si="273">SUMIF($F$12:$F$384,"=3111",I$12:I$384)</f>
        <v>106752388</v>
      </c>
      <c r="J156" s="371">
        <f t="shared" si="273"/>
        <v>79193167</v>
      </c>
      <c r="K156" s="371">
        <f t="shared" si="273"/>
        <v>26767290</v>
      </c>
      <c r="L156" s="371">
        <f t="shared" si="273"/>
        <v>791931</v>
      </c>
      <c r="M156" s="371">
        <f t="shared" si="273"/>
        <v>0</v>
      </c>
      <c r="N156" s="822">
        <f t="shared" si="273"/>
        <v>136.36559999999997</v>
      </c>
      <c r="O156" s="372">
        <f t="shared" si="273"/>
        <v>-90000</v>
      </c>
      <c r="P156" s="371">
        <f t="shared" si="273"/>
        <v>2715164</v>
      </c>
      <c r="Q156" s="371">
        <f t="shared" si="273"/>
        <v>0</v>
      </c>
      <c r="R156" s="371">
        <f t="shared" si="273"/>
        <v>0</v>
      </c>
      <c r="S156" s="371">
        <f t="shared" si="273"/>
        <v>0</v>
      </c>
      <c r="T156" s="371">
        <f t="shared" si="273"/>
        <v>0</v>
      </c>
      <c r="U156" s="371">
        <f t="shared" si="273"/>
        <v>2625164</v>
      </c>
      <c r="V156" s="371">
        <f t="shared" si="273"/>
        <v>90000</v>
      </c>
      <c r="W156" s="371">
        <f t="shared" si="273"/>
        <v>0</v>
      </c>
      <c r="X156" s="371">
        <f t="shared" si="273"/>
        <v>0</v>
      </c>
      <c r="Y156" s="371">
        <f t="shared" si="273"/>
        <v>90000</v>
      </c>
      <c r="Z156" s="371">
        <f t="shared" si="273"/>
        <v>2715164</v>
      </c>
      <c r="AA156" s="371">
        <f t="shared" si="273"/>
        <v>917725</v>
      </c>
      <c r="AB156" s="371">
        <f t="shared" si="273"/>
        <v>26250</v>
      </c>
      <c r="AC156" s="371">
        <f t="shared" si="273"/>
        <v>0</v>
      </c>
      <c r="AD156" s="643">
        <f t="shared" si="273"/>
        <v>3659139</v>
      </c>
      <c r="AE156" s="648">
        <f t="shared" si="273"/>
        <v>0</v>
      </c>
      <c r="AF156" s="373">
        <f t="shared" si="273"/>
        <v>6.81</v>
      </c>
      <c r="AG156" s="373">
        <f t="shared" si="273"/>
        <v>0</v>
      </c>
      <c r="AH156" s="373">
        <f t="shared" si="273"/>
        <v>0</v>
      </c>
      <c r="AI156" s="373">
        <f t="shared" si="273"/>
        <v>0</v>
      </c>
      <c r="AJ156" s="373">
        <f t="shared" si="273"/>
        <v>0</v>
      </c>
      <c r="AK156" s="649">
        <f t="shared" si="273"/>
        <v>6.81</v>
      </c>
      <c r="AL156" s="370">
        <f t="shared" si="273"/>
        <v>110411527</v>
      </c>
      <c r="AM156" s="371">
        <f t="shared" si="273"/>
        <v>81818331</v>
      </c>
      <c r="AN156" s="371">
        <f t="shared" si="273"/>
        <v>90000</v>
      </c>
      <c r="AO156" s="371">
        <f t="shared" si="273"/>
        <v>27685015</v>
      </c>
      <c r="AP156" s="371">
        <f t="shared" si="273"/>
        <v>818181</v>
      </c>
      <c r="AQ156" s="371">
        <f t="shared" si="273"/>
        <v>0</v>
      </c>
      <c r="AR156" s="649">
        <f t="shared" si="273"/>
        <v>143.17559999999997</v>
      </c>
    </row>
    <row r="157" spans="1:44" s="60" customFormat="1" ht="12.95" customHeight="1" x14ac:dyDescent="0.25">
      <c r="A157" s="236"/>
      <c r="D157" s="236"/>
      <c r="E157" s="320"/>
      <c r="F157" s="236"/>
      <c r="G157" s="238"/>
      <c r="H157" s="2">
        <v>3113</v>
      </c>
      <c r="I157" s="119">
        <f t="shared" ref="I157:AR157" si="274">SUMIF($F$12:$F$384,"=3113",I$12:I$384)</f>
        <v>182866269</v>
      </c>
      <c r="J157" s="14">
        <f t="shared" si="274"/>
        <v>135657470</v>
      </c>
      <c r="K157" s="14">
        <f t="shared" si="274"/>
        <v>45852223</v>
      </c>
      <c r="L157" s="14">
        <f t="shared" si="274"/>
        <v>1356576</v>
      </c>
      <c r="M157" s="14">
        <f t="shared" si="274"/>
        <v>0</v>
      </c>
      <c r="N157" s="823">
        <f t="shared" si="274"/>
        <v>183.74080000000001</v>
      </c>
      <c r="O157" s="120">
        <f t="shared" si="274"/>
        <v>-277140</v>
      </c>
      <c r="P157" s="14">
        <f t="shared" si="274"/>
        <v>17313083</v>
      </c>
      <c r="Q157" s="14">
        <f t="shared" si="274"/>
        <v>197380</v>
      </c>
      <c r="R157" s="14">
        <f t="shared" si="274"/>
        <v>-748860</v>
      </c>
      <c r="S157" s="14">
        <f t="shared" si="274"/>
        <v>0</v>
      </c>
      <c r="T157" s="14">
        <f t="shared" si="274"/>
        <v>0</v>
      </c>
      <c r="U157" s="14">
        <f t="shared" si="274"/>
        <v>16484463</v>
      </c>
      <c r="V157" s="14">
        <f t="shared" si="274"/>
        <v>277140</v>
      </c>
      <c r="W157" s="14">
        <f t="shared" si="274"/>
        <v>0</v>
      </c>
      <c r="X157" s="14">
        <f t="shared" si="274"/>
        <v>0</v>
      </c>
      <c r="Y157" s="14">
        <f t="shared" si="274"/>
        <v>277140</v>
      </c>
      <c r="Z157" s="14">
        <f t="shared" si="274"/>
        <v>16761603</v>
      </c>
      <c r="AA157" s="14">
        <f t="shared" si="274"/>
        <v>5665421</v>
      </c>
      <c r="AB157" s="14">
        <f t="shared" si="274"/>
        <v>164844</v>
      </c>
      <c r="AC157" s="14">
        <f t="shared" si="274"/>
        <v>0</v>
      </c>
      <c r="AD157" s="644">
        <f t="shared" si="274"/>
        <v>22591868</v>
      </c>
      <c r="AE157" s="650">
        <f t="shared" si="274"/>
        <v>-0.25</v>
      </c>
      <c r="AF157" s="11">
        <f t="shared" si="274"/>
        <v>43.080000000000005</v>
      </c>
      <c r="AG157" s="11">
        <f t="shared" si="274"/>
        <v>-1</v>
      </c>
      <c r="AH157" s="11">
        <f t="shared" si="274"/>
        <v>0.30000000000000004</v>
      </c>
      <c r="AI157" s="11">
        <f t="shared" si="274"/>
        <v>0</v>
      </c>
      <c r="AJ157" s="11">
        <f t="shared" si="274"/>
        <v>0</v>
      </c>
      <c r="AK157" s="651">
        <f t="shared" si="274"/>
        <v>42.129999999999995</v>
      </c>
      <c r="AL157" s="119">
        <f t="shared" si="274"/>
        <v>205458137</v>
      </c>
      <c r="AM157" s="14">
        <f t="shared" si="274"/>
        <v>152141933</v>
      </c>
      <c r="AN157" s="14">
        <f t="shared" si="274"/>
        <v>277140</v>
      </c>
      <c r="AO157" s="14">
        <f t="shared" si="274"/>
        <v>51517644</v>
      </c>
      <c r="AP157" s="14">
        <f t="shared" si="274"/>
        <v>1521420</v>
      </c>
      <c r="AQ157" s="14">
        <f t="shared" si="274"/>
        <v>0</v>
      </c>
      <c r="AR157" s="651">
        <f t="shared" si="274"/>
        <v>225.8708</v>
      </c>
    </row>
    <row r="158" spans="1:44" s="60" customFormat="1" ht="12.95" customHeight="1" x14ac:dyDescent="0.25">
      <c r="A158" s="236"/>
      <c r="D158" s="236"/>
      <c r="E158" s="320"/>
      <c r="F158" s="236"/>
      <c r="G158" s="238"/>
      <c r="H158" s="2">
        <v>3114</v>
      </c>
      <c r="I158" s="119">
        <f t="shared" ref="I158:AR158" si="275">SUMIF($F$12:$F$384,"=3114",I$12:I$384)</f>
        <v>26199425</v>
      </c>
      <c r="J158" s="14">
        <f t="shared" si="275"/>
        <v>19435775</v>
      </c>
      <c r="K158" s="14">
        <f t="shared" si="275"/>
        <v>6569293</v>
      </c>
      <c r="L158" s="14">
        <f t="shared" si="275"/>
        <v>194357</v>
      </c>
      <c r="M158" s="14">
        <f t="shared" si="275"/>
        <v>0</v>
      </c>
      <c r="N158" s="823">
        <f t="shared" si="275"/>
        <v>28.980000000000004</v>
      </c>
      <c r="O158" s="120">
        <f t="shared" si="275"/>
        <v>0</v>
      </c>
      <c r="P158" s="14">
        <f t="shared" si="275"/>
        <v>926146</v>
      </c>
      <c r="Q158" s="14">
        <f t="shared" si="275"/>
        <v>0</v>
      </c>
      <c r="R158" s="14">
        <f t="shared" si="275"/>
        <v>0</v>
      </c>
      <c r="S158" s="14">
        <f t="shared" si="275"/>
        <v>0</v>
      </c>
      <c r="T158" s="14">
        <f t="shared" si="275"/>
        <v>0</v>
      </c>
      <c r="U158" s="14">
        <f t="shared" si="275"/>
        <v>926146</v>
      </c>
      <c r="V158" s="14">
        <f t="shared" si="275"/>
        <v>0</v>
      </c>
      <c r="W158" s="14">
        <f t="shared" si="275"/>
        <v>0</v>
      </c>
      <c r="X158" s="14">
        <f t="shared" si="275"/>
        <v>0</v>
      </c>
      <c r="Y158" s="14">
        <f t="shared" si="275"/>
        <v>0</v>
      </c>
      <c r="Z158" s="14">
        <f t="shared" si="275"/>
        <v>926146</v>
      </c>
      <c r="AA158" s="14">
        <f t="shared" si="275"/>
        <v>313037</v>
      </c>
      <c r="AB158" s="14">
        <f t="shared" si="275"/>
        <v>9261</v>
      </c>
      <c r="AC158" s="14">
        <f t="shared" si="275"/>
        <v>0</v>
      </c>
      <c r="AD158" s="644">
        <f t="shared" si="275"/>
        <v>1248444</v>
      </c>
      <c r="AE158" s="650">
        <f t="shared" si="275"/>
        <v>0</v>
      </c>
      <c r="AF158" s="11">
        <f t="shared" si="275"/>
        <v>2.25</v>
      </c>
      <c r="AG158" s="11">
        <f t="shared" si="275"/>
        <v>0</v>
      </c>
      <c r="AH158" s="11">
        <f t="shared" si="275"/>
        <v>0</v>
      </c>
      <c r="AI158" s="11">
        <f t="shared" si="275"/>
        <v>0</v>
      </c>
      <c r="AJ158" s="11">
        <f t="shared" si="275"/>
        <v>0</v>
      </c>
      <c r="AK158" s="651">
        <f t="shared" si="275"/>
        <v>2.25</v>
      </c>
      <c r="AL158" s="119">
        <f t="shared" si="275"/>
        <v>27447869</v>
      </c>
      <c r="AM158" s="14">
        <f t="shared" si="275"/>
        <v>20361921</v>
      </c>
      <c r="AN158" s="14">
        <f t="shared" si="275"/>
        <v>0</v>
      </c>
      <c r="AO158" s="14">
        <f t="shared" si="275"/>
        <v>6882330</v>
      </c>
      <c r="AP158" s="14">
        <f t="shared" si="275"/>
        <v>203618</v>
      </c>
      <c r="AQ158" s="14">
        <f t="shared" si="275"/>
        <v>0</v>
      </c>
      <c r="AR158" s="651">
        <f t="shared" si="275"/>
        <v>31.230000000000004</v>
      </c>
    </row>
    <row r="159" spans="1:44" s="60" customFormat="1" ht="12.95" customHeight="1" x14ac:dyDescent="0.25">
      <c r="A159" s="236"/>
      <c r="D159" s="236"/>
      <c r="E159" s="320"/>
      <c r="F159" s="236"/>
      <c r="G159" s="238"/>
      <c r="H159" s="2">
        <v>3117</v>
      </c>
      <c r="I159" s="119">
        <f t="shared" ref="I159:AR159" si="276">SUMIF($F$12:$F$384,"=3117",I$12:I$384)</f>
        <v>46168537</v>
      </c>
      <c r="J159" s="14">
        <f t="shared" si="276"/>
        <v>34249657</v>
      </c>
      <c r="K159" s="14">
        <f t="shared" si="276"/>
        <v>11576381</v>
      </c>
      <c r="L159" s="14">
        <f t="shared" si="276"/>
        <v>342499</v>
      </c>
      <c r="M159" s="14">
        <f t="shared" si="276"/>
        <v>0</v>
      </c>
      <c r="N159" s="823">
        <f t="shared" si="276"/>
        <v>49.078199999999995</v>
      </c>
      <c r="O159" s="120">
        <f t="shared" si="276"/>
        <v>-65220</v>
      </c>
      <c r="P159" s="14">
        <f t="shared" si="276"/>
        <v>3242468</v>
      </c>
      <c r="Q159" s="14">
        <f t="shared" si="276"/>
        <v>0</v>
      </c>
      <c r="R159" s="14">
        <f t="shared" si="276"/>
        <v>0</v>
      </c>
      <c r="S159" s="14">
        <f t="shared" si="276"/>
        <v>0</v>
      </c>
      <c r="T159" s="14">
        <f t="shared" si="276"/>
        <v>0</v>
      </c>
      <c r="U159" s="14">
        <f t="shared" si="276"/>
        <v>3177248</v>
      </c>
      <c r="V159" s="14">
        <f t="shared" si="276"/>
        <v>65220</v>
      </c>
      <c r="W159" s="14">
        <f t="shared" si="276"/>
        <v>133904</v>
      </c>
      <c r="X159" s="14">
        <f t="shared" si="276"/>
        <v>0</v>
      </c>
      <c r="Y159" s="14">
        <f t="shared" si="276"/>
        <v>199124</v>
      </c>
      <c r="Z159" s="14">
        <f t="shared" si="276"/>
        <v>3376372</v>
      </c>
      <c r="AA159" s="14">
        <f t="shared" si="276"/>
        <v>1141213</v>
      </c>
      <c r="AB159" s="14">
        <f t="shared" si="276"/>
        <v>31773</v>
      </c>
      <c r="AC159" s="14">
        <f t="shared" si="276"/>
        <v>0</v>
      </c>
      <c r="AD159" s="644">
        <f t="shared" si="276"/>
        <v>4549358</v>
      </c>
      <c r="AE159" s="650">
        <f t="shared" si="276"/>
        <v>-0.03</v>
      </c>
      <c r="AF159" s="11">
        <f t="shared" si="276"/>
        <v>8.3299999999999983</v>
      </c>
      <c r="AG159" s="11">
        <f t="shared" si="276"/>
        <v>0</v>
      </c>
      <c r="AH159" s="11">
        <f t="shared" si="276"/>
        <v>0</v>
      </c>
      <c r="AI159" s="11">
        <f t="shared" si="276"/>
        <v>0</v>
      </c>
      <c r="AJ159" s="11">
        <f t="shared" si="276"/>
        <v>0</v>
      </c>
      <c r="AK159" s="651">
        <f t="shared" si="276"/>
        <v>8.2999999999999989</v>
      </c>
      <c r="AL159" s="119">
        <f t="shared" si="276"/>
        <v>50717895</v>
      </c>
      <c r="AM159" s="14">
        <f t="shared" si="276"/>
        <v>37426905</v>
      </c>
      <c r="AN159" s="14">
        <f t="shared" si="276"/>
        <v>199124</v>
      </c>
      <c r="AO159" s="14">
        <f t="shared" si="276"/>
        <v>12717594</v>
      </c>
      <c r="AP159" s="14">
        <f t="shared" si="276"/>
        <v>374272</v>
      </c>
      <c r="AQ159" s="14">
        <f t="shared" si="276"/>
        <v>0</v>
      </c>
      <c r="AR159" s="651">
        <f t="shared" si="276"/>
        <v>57.378200000000007</v>
      </c>
    </row>
    <row r="160" spans="1:44" s="60" customFormat="1" ht="12.95" customHeight="1" x14ac:dyDescent="0.25">
      <c r="A160" s="236"/>
      <c r="D160" s="236"/>
      <c r="E160" s="320"/>
      <c r="F160" s="236"/>
      <c r="G160" s="238"/>
      <c r="H160" s="2">
        <v>3122</v>
      </c>
      <c r="I160" s="119">
        <f t="shared" ref="I160:AR160" si="277">SUMIF($F$12:$F$384,"=3122",I$12:I$384)</f>
        <v>0</v>
      </c>
      <c r="J160" s="14">
        <f t="shared" si="277"/>
        <v>0</v>
      </c>
      <c r="K160" s="14">
        <f t="shared" si="277"/>
        <v>0</v>
      </c>
      <c r="L160" s="14">
        <f t="shared" si="277"/>
        <v>0</v>
      </c>
      <c r="M160" s="14">
        <f t="shared" si="277"/>
        <v>0</v>
      </c>
      <c r="N160" s="823">
        <f t="shared" si="277"/>
        <v>0</v>
      </c>
      <c r="O160" s="120">
        <f t="shared" si="277"/>
        <v>0</v>
      </c>
      <c r="P160" s="14">
        <f t="shared" si="277"/>
        <v>0</v>
      </c>
      <c r="Q160" s="14">
        <f t="shared" si="277"/>
        <v>0</v>
      </c>
      <c r="R160" s="14">
        <f t="shared" si="277"/>
        <v>0</v>
      </c>
      <c r="S160" s="14">
        <f t="shared" si="277"/>
        <v>0</v>
      </c>
      <c r="T160" s="14">
        <f t="shared" si="277"/>
        <v>0</v>
      </c>
      <c r="U160" s="14">
        <f t="shared" si="277"/>
        <v>0</v>
      </c>
      <c r="V160" s="14">
        <f t="shared" si="277"/>
        <v>0</v>
      </c>
      <c r="W160" s="14">
        <f t="shared" si="277"/>
        <v>0</v>
      </c>
      <c r="X160" s="14">
        <f t="shared" si="277"/>
        <v>0</v>
      </c>
      <c r="Y160" s="14">
        <f t="shared" si="277"/>
        <v>0</v>
      </c>
      <c r="Z160" s="14">
        <f t="shared" si="277"/>
        <v>0</v>
      </c>
      <c r="AA160" s="14">
        <f t="shared" si="277"/>
        <v>0</v>
      </c>
      <c r="AB160" s="14">
        <f t="shared" si="277"/>
        <v>0</v>
      </c>
      <c r="AC160" s="14">
        <f t="shared" si="277"/>
        <v>0</v>
      </c>
      <c r="AD160" s="644">
        <f t="shared" si="277"/>
        <v>0</v>
      </c>
      <c r="AE160" s="650">
        <f t="shared" si="277"/>
        <v>0</v>
      </c>
      <c r="AF160" s="11">
        <f t="shared" si="277"/>
        <v>0</v>
      </c>
      <c r="AG160" s="11">
        <f t="shared" si="277"/>
        <v>0</v>
      </c>
      <c r="AH160" s="11">
        <f t="shared" si="277"/>
        <v>0</v>
      </c>
      <c r="AI160" s="11">
        <f t="shared" si="277"/>
        <v>0</v>
      </c>
      <c r="AJ160" s="11">
        <f t="shared" si="277"/>
        <v>0</v>
      </c>
      <c r="AK160" s="651">
        <f t="shared" si="277"/>
        <v>0</v>
      </c>
      <c r="AL160" s="119">
        <f t="shared" si="277"/>
        <v>0</v>
      </c>
      <c r="AM160" s="14">
        <f t="shared" si="277"/>
        <v>0</v>
      </c>
      <c r="AN160" s="14">
        <f t="shared" si="277"/>
        <v>0</v>
      </c>
      <c r="AO160" s="14">
        <f t="shared" si="277"/>
        <v>0</v>
      </c>
      <c r="AP160" s="14">
        <f t="shared" si="277"/>
        <v>0</v>
      </c>
      <c r="AQ160" s="14">
        <f t="shared" si="277"/>
        <v>0</v>
      </c>
      <c r="AR160" s="651">
        <f t="shared" si="277"/>
        <v>0</v>
      </c>
    </row>
    <row r="161" spans="1:44" s="60" customFormat="1" ht="12.95" customHeight="1" x14ac:dyDescent="0.25">
      <c r="A161" s="236"/>
      <c r="D161" s="236"/>
      <c r="E161" s="320"/>
      <c r="F161" s="236"/>
      <c r="G161" s="238"/>
      <c r="H161" s="2">
        <v>3124</v>
      </c>
      <c r="I161" s="119">
        <f t="shared" ref="I161:AR161" si="278">SUMIF($F$12:$F$384,"=3124",I$12:I$384)</f>
        <v>0</v>
      </c>
      <c r="J161" s="14">
        <f t="shared" si="278"/>
        <v>0</v>
      </c>
      <c r="K161" s="14">
        <f t="shared" si="278"/>
        <v>0</v>
      </c>
      <c r="L161" s="14">
        <f t="shared" si="278"/>
        <v>0</v>
      </c>
      <c r="M161" s="14">
        <f t="shared" si="278"/>
        <v>0</v>
      </c>
      <c r="N161" s="823">
        <f t="shared" si="278"/>
        <v>0</v>
      </c>
      <c r="O161" s="120">
        <f t="shared" si="278"/>
        <v>0</v>
      </c>
      <c r="P161" s="14">
        <f t="shared" si="278"/>
        <v>0</v>
      </c>
      <c r="Q161" s="14">
        <f t="shared" si="278"/>
        <v>0</v>
      </c>
      <c r="R161" s="14">
        <f t="shared" si="278"/>
        <v>0</v>
      </c>
      <c r="S161" s="14">
        <f t="shared" si="278"/>
        <v>0</v>
      </c>
      <c r="T161" s="14">
        <f t="shared" si="278"/>
        <v>0</v>
      </c>
      <c r="U161" s="14">
        <f t="shared" si="278"/>
        <v>0</v>
      </c>
      <c r="V161" s="14">
        <f t="shared" si="278"/>
        <v>0</v>
      </c>
      <c r="W161" s="14">
        <f t="shared" si="278"/>
        <v>0</v>
      </c>
      <c r="X161" s="14">
        <f t="shared" si="278"/>
        <v>0</v>
      </c>
      <c r="Y161" s="14">
        <f t="shared" si="278"/>
        <v>0</v>
      </c>
      <c r="Z161" s="14">
        <f t="shared" si="278"/>
        <v>0</v>
      </c>
      <c r="AA161" s="14">
        <f t="shared" si="278"/>
        <v>0</v>
      </c>
      <c r="AB161" s="14">
        <f t="shared" si="278"/>
        <v>0</v>
      </c>
      <c r="AC161" s="14">
        <f t="shared" si="278"/>
        <v>0</v>
      </c>
      <c r="AD161" s="644">
        <f t="shared" si="278"/>
        <v>0</v>
      </c>
      <c r="AE161" s="650">
        <f t="shared" si="278"/>
        <v>0</v>
      </c>
      <c r="AF161" s="11">
        <f t="shared" si="278"/>
        <v>0</v>
      </c>
      <c r="AG161" s="11">
        <f t="shared" si="278"/>
        <v>0</v>
      </c>
      <c r="AH161" s="11">
        <f t="shared" si="278"/>
        <v>0</v>
      </c>
      <c r="AI161" s="11">
        <f t="shared" si="278"/>
        <v>0</v>
      </c>
      <c r="AJ161" s="11">
        <f t="shared" si="278"/>
        <v>0</v>
      </c>
      <c r="AK161" s="651">
        <f t="shared" si="278"/>
        <v>0</v>
      </c>
      <c r="AL161" s="119">
        <f t="shared" si="278"/>
        <v>0</v>
      </c>
      <c r="AM161" s="14">
        <f t="shared" si="278"/>
        <v>0</v>
      </c>
      <c r="AN161" s="14">
        <f t="shared" si="278"/>
        <v>0</v>
      </c>
      <c r="AO161" s="14">
        <f t="shared" si="278"/>
        <v>0</v>
      </c>
      <c r="AP161" s="14">
        <f t="shared" si="278"/>
        <v>0</v>
      </c>
      <c r="AQ161" s="14">
        <f t="shared" si="278"/>
        <v>0</v>
      </c>
      <c r="AR161" s="651">
        <f t="shared" si="278"/>
        <v>0</v>
      </c>
    </row>
    <row r="162" spans="1:44" s="60" customFormat="1" ht="12.95" customHeight="1" x14ac:dyDescent="0.25">
      <c r="A162" s="236"/>
      <c r="D162" s="236"/>
      <c r="E162" s="320"/>
      <c r="F162" s="236"/>
      <c r="G162" s="238"/>
      <c r="H162" s="2">
        <v>3141</v>
      </c>
      <c r="I162" s="119">
        <f t="shared" ref="I162:AR162" si="279">SUMIF($F$12:$F$384,"=3141",I$12:I$384)</f>
        <v>0</v>
      </c>
      <c r="J162" s="14">
        <f t="shared" si="279"/>
        <v>0</v>
      </c>
      <c r="K162" s="14">
        <f t="shared" si="279"/>
        <v>0</v>
      </c>
      <c r="L162" s="14">
        <f t="shared" si="279"/>
        <v>0</v>
      </c>
      <c r="M162" s="14">
        <f t="shared" si="279"/>
        <v>0</v>
      </c>
      <c r="N162" s="823">
        <f t="shared" si="279"/>
        <v>0</v>
      </c>
      <c r="O162" s="120">
        <f t="shared" si="279"/>
        <v>0</v>
      </c>
      <c r="P162" s="14">
        <f t="shared" si="279"/>
        <v>0</v>
      </c>
      <c r="Q162" s="14">
        <f t="shared" si="279"/>
        <v>0</v>
      </c>
      <c r="R162" s="14">
        <f t="shared" si="279"/>
        <v>0</v>
      </c>
      <c r="S162" s="14">
        <f t="shared" si="279"/>
        <v>0</v>
      </c>
      <c r="T162" s="14">
        <f t="shared" si="279"/>
        <v>0</v>
      </c>
      <c r="U162" s="14">
        <f t="shared" si="279"/>
        <v>0</v>
      </c>
      <c r="V162" s="14">
        <f t="shared" si="279"/>
        <v>0</v>
      </c>
      <c r="W162" s="14">
        <f t="shared" si="279"/>
        <v>0</v>
      </c>
      <c r="X162" s="14">
        <f t="shared" si="279"/>
        <v>0</v>
      </c>
      <c r="Y162" s="14">
        <f t="shared" si="279"/>
        <v>0</v>
      </c>
      <c r="Z162" s="14">
        <f t="shared" si="279"/>
        <v>0</v>
      </c>
      <c r="AA162" s="14">
        <f t="shared" si="279"/>
        <v>0</v>
      </c>
      <c r="AB162" s="14">
        <f t="shared" si="279"/>
        <v>0</v>
      </c>
      <c r="AC162" s="14">
        <f t="shared" si="279"/>
        <v>0</v>
      </c>
      <c r="AD162" s="644">
        <f t="shared" si="279"/>
        <v>0</v>
      </c>
      <c r="AE162" s="650">
        <f t="shared" si="279"/>
        <v>0</v>
      </c>
      <c r="AF162" s="11">
        <f t="shared" si="279"/>
        <v>0</v>
      </c>
      <c r="AG162" s="11">
        <f t="shared" si="279"/>
        <v>0</v>
      </c>
      <c r="AH162" s="11">
        <f t="shared" si="279"/>
        <v>0</v>
      </c>
      <c r="AI162" s="11">
        <f t="shared" si="279"/>
        <v>0</v>
      </c>
      <c r="AJ162" s="11">
        <f t="shared" si="279"/>
        <v>0</v>
      </c>
      <c r="AK162" s="651">
        <f t="shared" si="279"/>
        <v>0</v>
      </c>
      <c r="AL162" s="119">
        <f t="shared" si="279"/>
        <v>0</v>
      </c>
      <c r="AM162" s="14">
        <f t="shared" si="279"/>
        <v>0</v>
      </c>
      <c r="AN162" s="14">
        <f t="shared" si="279"/>
        <v>0</v>
      </c>
      <c r="AO162" s="14">
        <f t="shared" si="279"/>
        <v>0</v>
      </c>
      <c r="AP162" s="14">
        <f t="shared" si="279"/>
        <v>0</v>
      </c>
      <c r="AQ162" s="14">
        <f t="shared" si="279"/>
        <v>0</v>
      </c>
      <c r="AR162" s="651">
        <f t="shared" si="279"/>
        <v>0</v>
      </c>
    </row>
    <row r="163" spans="1:44" s="60" customFormat="1" ht="12.95" customHeight="1" x14ac:dyDescent="0.25">
      <c r="A163" s="236"/>
      <c r="D163" s="236"/>
      <c r="E163" s="320"/>
      <c r="F163" s="236"/>
      <c r="G163" s="238"/>
      <c r="H163" s="2">
        <v>3143</v>
      </c>
      <c r="I163" s="119">
        <f t="shared" ref="I163:AR163" si="280">SUMIF($F$12:$F$384,"=3143",I$12:I$384)</f>
        <v>30555967</v>
      </c>
      <c r="J163" s="14">
        <f t="shared" si="280"/>
        <v>22667632</v>
      </c>
      <c r="K163" s="14">
        <f t="shared" si="280"/>
        <v>7661662</v>
      </c>
      <c r="L163" s="14">
        <f t="shared" si="280"/>
        <v>226673</v>
      </c>
      <c r="M163" s="14">
        <f t="shared" si="280"/>
        <v>0</v>
      </c>
      <c r="N163" s="823">
        <f t="shared" si="280"/>
        <v>42.821099999999994</v>
      </c>
      <c r="O163" s="120">
        <f t="shared" si="280"/>
        <v>-57960</v>
      </c>
      <c r="P163" s="14">
        <f t="shared" si="280"/>
        <v>0</v>
      </c>
      <c r="Q163" s="14">
        <f t="shared" si="280"/>
        <v>0</v>
      </c>
      <c r="R163" s="14">
        <f t="shared" si="280"/>
        <v>0</v>
      </c>
      <c r="S163" s="14">
        <f t="shared" si="280"/>
        <v>0</v>
      </c>
      <c r="T163" s="14">
        <f t="shared" si="280"/>
        <v>0</v>
      </c>
      <c r="U163" s="14">
        <f t="shared" si="280"/>
        <v>-57960</v>
      </c>
      <c r="V163" s="14">
        <f t="shared" si="280"/>
        <v>57960</v>
      </c>
      <c r="W163" s="14">
        <f t="shared" si="280"/>
        <v>0</v>
      </c>
      <c r="X163" s="14">
        <f t="shared" si="280"/>
        <v>0</v>
      </c>
      <c r="Y163" s="14">
        <f t="shared" si="280"/>
        <v>57960</v>
      </c>
      <c r="Z163" s="14">
        <f t="shared" si="280"/>
        <v>0</v>
      </c>
      <c r="AA163" s="14">
        <f t="shared" si="280"/>
        <v>0</v>
      </c>
      <c r="AB163" s="14">
        <f t="shared" si="280"/>
        <v>-580</v>
      </c>
      <c r="AC163" s="14">
        <f t="shared" si="280"/>
        <v>0</v>
      </c>
      <c r="AD163" s="644">
        <f t="shared" si="280"/>
        <v>-580</v>
      </c>
      <c r="AE163" s="650">
        <f t="shared" si="280"/>
        <v>0</v>
      </c>
      <c r="AF163" s="11">
        <f t="shared" si="280"/>
        <v>0</v>
      </c>
      <c r="AG163" s="11">
        <f t="shared" si="280"/>
        <v>0</v>
      </c>
      <c r="AH163" s="11">
        <f t="shared" si="280"/>
        <v>0</v>
      </c>
      <c r="AI163" s="11">
        <f t="shared" si="280"/>
        <v>0</v>
      </c>
      <c r="AJ163" s="11">
        <f t="shared" si="280"/>
        <v>0</v>
      </c>
      <c r="AK163" s="651">
        <f t="shared" si="280"/>
        <v>0</v>
      </c>
      <c r="AL163" s="119">
        <f t="shared" si="280"/>
        <v>30555387</v>
      </c>
      <c r="AM163" s="14">
        <f t="shared" si="280"/>
        <v>22609672</v>
      </c>
      <c r="AN163" s="14">
        <f t="shared" si="280"/>
        <v>57960</v>
      </c>
      <c r="AO163" s="14">
        <f t="shared" si="280"/>
        <v>7661662</v>
      </c>
      <c r="AP163" s="14">
        <f t="shared" si="280"/>
        <v>226093</v>
      </c>
      <c r="AQ163" s="14">
        <f t="shared" si="280"/>
        <v>0</v>
      </c>
      <c r="AR163" s="651">
        <f t="shared" si="280"/>
        <v>42.821099999999994</v>
      </c>
    </row>
    <row r="164" spans="1:44" s="60" customFormat="1" ht="12.95" customHeight="1" x14ac:dyDescent="0.25">
      <c r="A164" s="236"/>
      <c r="D164" s="236"/>
      <c r="E164" s="320"/>
      <c r="F164" s="236"/>
      <c r="G164" s="238"/>
      <c r="H164" s="2">
        <v>3231</v>
      </c>
      <c r="I164" s="119">
        <f t="shared" ref="I164:AR164" si="281">SUMIF($F$12:$F$384,"=3231",I$12:I$384)</f>
        <v>24703502</v>
      </c>
      <c r="J164" s="14">
        <f t="shared" si="281"/>
        <v>18326040</v>
      </c>
      <c r="K164" s="14">
        <f t="shared" si="281"/>
        <v>6194202</v>
      </c>
      <c r="L164" s="14">
        <f t="shared" si="281"/>
        <v>183260</v>
      </c>
      <c r="M164" s="14">
        <f t="shared" si="281"/>
        <v>0</v>
      </c>
      <c r="N164" s="823">
        <f t="shared" si="281"/>
        <v>27.5275</v>
      </c>
      <c r="O164" s="120">
        <f t="shared" si="281"/>
        <v>0</v>
      </c>
      <c r="P164" s="14">
        <f t="shared" si="281"/>
        <v>0</v>
      </c>
      <c r="Q164" s="14">
        <f t="shared" si="281"/>
        <v>0</v>
      </c>
      <c r="R164" s="14">
        <f t="shared" si="281"/>
        <v>0</v>
      </c>
      <c r="S164" s="14">
        <f t="shared" si="281"/>
        <v>0</v>
      </c>
      <c r="T164" s="14">
        <f t="shared" si="281"/>
        <v>0</v>
      </c>
      <c r="U164" s="14">
        <f t="shared" si="281"/>
        <v>0</v>
      </c>
      <c r="V164" s="14">
        <f t="shared" si="281"/>
        <v>0</v>
      </c>
      <c r="W164" s="14">
        <f t="shared" si="281"/>
        <v>0</v>
      </c>
      <c r="X164" s="14">
        <f t="shared" si="281"/>
        <v>0</v>
      </c>
      <c r="Y164" s="14">
        <f t="shared" si="281"/>
        <v>0</v>
      </c>
      <c r="Z164" s="14">
        <f t="shared" si="281"/>
        <v>0</v>
      </c>
      <c r="AA164" s="14">
        <f t="shared" si="281"/>
        <v>0</v>
      </c>
      <c r="AB164" s="14">
        <f t="shared" si="281"/>
        <v>0</v>
      </c>
      <c r="AC164" s="14">
        <f t="shared" si="281"/>
        <v>0</v>
      </c>
      <c r="AD164" s="644">
        <f t="shared" si="281"/>
        <v>0</v>
      </c>
      <c r="AE164" s="650">
        <f t="shared" si="281"/>
        <v>0</v>
      </c>
      <c r="AF164" s="11">
        <f t="shared" si="281"/>
        <v>0</v>
      </c>
      <c r="AG164" s="11">
        <f t="shared" si="281"/>
        <v>0</v>
      </c>
      <c r="AH164" s="11">
        <f t="shared" si="281"/>
        <v>0</v>
      </c>
      <c r="AI164" s="11">
        <f t="shared" si="281"/>
        <v>0</v>
      </c>
      <c r="AJ164" s="11">
        <f t="shared" si="281"/>
        <v>0</v>
      </c>
      <c r="AK164" s="651">
        <f t="shared" si="281"/>
        <v>0</v>
      </c>
      <c r="AL164" s="119">
        <f t="shared" si="281"/>
        <v>24703502</v>
      </c>
      <c r="AM164" s="14">
        <f t="shared" si="281"/>
        <v>18326040</v>
      </c>
      <c r="AN164" s="14">
        <f t="shared" si="281"/>
        <v>0</v>
      </c>
      <c r="AO164" s="14">
        <f t="shared" si="281"/>
        <v>6194202</v>
      </c>
      <c r="AP164" s="14">
        <f t="shared" si="281"/>
        <v>183260</v>
      </c>
      <c r="AQ164" s="14">
        <f t="shared" si="281"/>
        <v>0</v>
      </c>
      <c r="AR164" s="651">
        <f t="shared" si="281"/>
        <v>27.5275</v>
      </c>
    </row>
    <row r="165" spans="1:44" s="60" customFormat="1" ht="12.95" customHeight="1" thickBot="1" x14ac:dyDescent="0.3">
      <c r="A165" s="236"/>
      <c r="D165" s="236"/>
      <c r="E165" s="320"/>
      <c r="F165" s="236"/>
      <c r="G165" s="238"/>
      <c r="H165" s="103">
        <v>3233</v>
      </c>
      <c r="I165" s="122">
        <f t="shared" ref="I165:AR165" si="282">SUMIF($F$12:$F$384,"=3233",I$12:I$384)</f>
        <v>3917707</v>
      </c>
      <c r="J165" s="123">
        <f t="shared" si="282"/>
        <v>2906311</v>
      </c>
      <c r="K165" s="123">
        <f t="shared" si="282"/>
        <v>982333</v>
      </c>
      <c r="L165" s="123">
        <f t="shared" si="282"/>
        <v>29063</v>
      </c>
      <c r="M165" s="123">
        <f t="shared" si="282"/>
        <v>0</v>
      </c>
      <c r="N165" s="824">
        <f t="shared" si="282"/>
        <v>4.92</v>
      </c>
      <c r="O165" s="125">
        <f t="shared" si="282"/>
        <v>-45000</v>
      </c>
      <c r="P165" s="123">
        <f t="shared" si="282"/>
        <v>0</v>
      </c>
      <c r="Q165" s="123">
        <f t="shared" si="282"/>
        <v>0</v>
      </c>
      <c r="R165" s="123">
        <f t="shared" si="282"/>
        <v>0</v>
      </c>
      <c r="S165" s="123">
        <f t="shared" si="282"/>
        <v>0</v>
      </c>
      <c r="T165" s="123">
        <f t="shared" si="282"/>
        <v>0</v>
      </c>
      <c r="U165" s="123">
        <f t="shared" si="282"/>
        <v>-45000</v>
      </c>
      <c r="V165" s="123">
        <f t="shared" si="282"/>
        <v>45000</v>
      </c>
      <c r="W165" s="123">
        <f t="shared" si="282"/>
        <v>0</v>
      </c>
      <c r="X165" s="123">
        <f t="shared" si="282"/>
        <v>0</v>
      </c>
      <c r="Y165" s="123">
        <f t="shared" si="282"/>
        <v>45000</v>
      </c>
      <c r="Z165" s="123">
        <f t="shared" si="282"/>
        <v>0</v>
      </c>
      <c r="AA165" s="123">
        <f t="shared" si="282"/>
        <v>0</v>
      </c>
      <c r="AB165" s="123">
        <f t="shared" si="282"/>
        <v>-450</v>
      </c>
      <c r="AC165" s="123">
        <f t="shared" si="282"/>
        <v>0</v>
      </c>
      <c r="AD165" s="645">
        <f t="shared" si="282"/>
        <v>-450</v>
      </c>
      <c r="AE165" s="652">
        <f t="shared" si="282"/>
        <v>-0.08</v>
      </c>
      <c r="AF165" s="124">
        <f t="shared" si="282"/>
        <v>0</v>
      </c>
      <c r="AG165" s="124">
        <f t="shared" si="282"/>
        <v>0</v>
      </c>
      <c r="AH165" s="124">
        <f t="shared" si="282"/>
        <v>0</v>
      </c>
      <c r="AI165" s="124">
        <f t="shared" si="282"/>
        <v>0</v>
      </c>
      <c r="AJ165" s="124">
        <f t="shared" si="282"/>
        <v>0</v>
      </c>
      <c r="AK165" s="653">
        <f t="shared" si="282"/>
        <v>-0.08</v>
      </c>
      <c r="AL165" s="122">
        <f t="shared" si="282"/>
        <v>3917257</v>
      </c>
      <c r="AM165" s="123">
        <f t="shared" si="282"/>
        <v>2861311</v>
      </c>
      <c r="AN165" s="123">
        <f t="shared" si="282"/>
        <v>45000</v>
      </c>
      <c r="AO165" s="123">
        <f t="shared" si="282"/>
        <v>982333</v>
      </c>
      <c r="AP165" s="123">
        <f t="shared" si="282"/>
        <v>28613</v>
      </c>
      <c r="AQ165" s="123">
        <f t="shared" si="282"/>
        <v>0</v>
      </c>
      <c r="AR165" s="653">
        <f t="shared" si="282"/>
        <v>4.84</v>
      </c>
    </row>
    <row r="166" spans="1:44" s="239" customFormat="1" ht="12.95" customHeight="1" x14ac:dyDescent="0.25">
      <c r="A166" s="318"/>
      <c r="B166" s="175"/>
      <c r="C166" s="175"/>
      <c r="D166" s="175"/>
      <c r="E166" s="175"/>
      <c r="F166" s="175"/>
      <c r="G166" s="175"/>
      <c r="H166" s="319"/>
      <c r="N166" s="732"/>
      <c r="S166" s="464"/>
      <c r="Z166" s="240"/>
      <c r="AA166" s="240"/>
      <c r="AE166" s="240"/>
      <c r="AF166" s="240"/>
      <c r="AG166" s="240"/>
      <c r="AH166" s="240"/>
      <c r="AI166" s="463"/>
      <c r="AJ166" s="240"/>
      <c r="AK166" s="240"/>
      <c r="AL166" s="240"/>
      <c r="AM166" s="240"/>
      <c r="AN166" s="240"/>
      <c r="AO166" s="240"/>
      <c r="AP166" s="240"/>
      <c r="AQ166" s="240"/>
      <c r="AR166" s="240"/>
    </row>
    <row r="167" spans="1:44" s="239" customFormat="1" ht="12.95" customHeight="1" x14ac:dyDescent="0.25">
      <c r="A167" s="318"/>
      <c r="B167" s="175"/>
      <c r="C167" s="175"/>
      <c r="D167" s="175"/>
      <c r="E167" s="175"/>
      <c r="F167" s="234"/>
      <c r="G167" s="175"/>
      <c r="H167" s="319"/>
      <c r="N167" s="732"/>
      <c r="S167" s="464"/>
      <c r="Z167" s="240"/>
      <c r="AA167" s="240"/>
      <c r="AE167" s="240"/>
      <c r="AF167" s="240"/>
      <c r="AG167" s="240"/>
      <c r="AH167" s="240"/>
      <c r="AI167" s="463"/>
      <c r="AJ167" s="240"/>
      <c r="AK167" s="240"/>
      <c r="AL167" s="240"/>
      <c r="AM167" s="240"/>
      <c r="AN167" s="240"/>
      <c r="AO167" s="240"/>
      <c r="AP167" s="240"/>
      <c r="AQ167" s="240"/>
      <c r="AR167" s="240"/>
    </row>
    <row r="168" spans="1:44" s="239" customFormat="1" ht="12.95" customHeight="1" x14ac:dyDescent="0.25">
      <c r="A168" s="318"/>
      <c r="B168" s="175"/>
      <c r="C168" s="175"/>
      <c r="D168" s="175"/>
      <c r="E168" s="175"/>
      <c r="F168" s="234"/>
      <c r="G168" s="175"/>
      <c r="H168" s="319"/>
      <c r="N168" s="732"/>
      <c r="S168" s="464"/>
      <c r="Z168" s="240"/>
      <c r="AA168" s="240"/>
      <c r="AE168" s="240"/>
      <c r="AF168" s="240"/>
      <c r="AG168" s="240"/>
      <c r="AH168" s="240"/>
      <c r="AI168" s="463"/>
      <c r="AJ168" s="240"/>
      <c r="AK168" s="240"/>
      <c r="AL168" s="240"/>
      <c r="AM168" s="240"/>
      <c r="AN168" s="240"/>
      <c r="AO168" s="240"/>
      <c r="AP168" s="240"/>
      <c r="AQ168" s="240"/>
      <c r="AR168" s="240"/>
    </row>
    <row r="169" spans="1:44" s="239" customFormat="1" x14ac:dyDescent="0.25">
      <c r="A169" s="318"/>
      <c r="B169" s="175"/>
      <c r="C169" s="175"/>
      <c r="D169" s="175"/>
      <c r="E169" s="175"/>
      <c r="F169" s="234"/>
      <c r="G169" s="175"/>
      <c r="H169" s="319"/>
      <c r="N169" s="732"/>
      <c r="S169" s="464"/>
      <c r="Z169" s="240"/>
      <c r="AA169" s="240"/>
      <c r="AE169" s="240"/>
      <c r="AF169" s="240"/>
      <c r="AG169" s="240"/>
      <c r="AH169" s="240"/>
      <c r="AI169" s="463"/>
      <c r="AJ169" s="240"/>
      <c r="AK169" s="240"/>
      <c r="AL169" s="240"/>
      <c r="AM169" s="240"/>
      <c r="AN169" s="240"/>
      <c r="AO169" s="240"/>
      <c r="AP169" s="240"/>
      <c r="AQ169" s="240"/>
      <c r="AR169" s="240"/>
    </row>
    <row r="170" spans="1:44" s="239" customFormat="1" x14ac:dyDescent="0.25">
      <c r="A170" s="318"/>
      <c r="B170" s="175"/>
      <c r="C170" s="175"/>
      <c r="D170" s="175"/>
      <c r="E170" s="175"/>
      <c r="F170" s="234"/>
      <c r="G170" s="175"/>
      <c r="H170" s="319"/>
      <c r="N170" s="732"/>
      <c r="S170" s="464"/>
      <c r="Z170" s="240"/>
      <c r="AA170" s="240"/>
      <c r="AE170" s="240"/>
      <c r="AF170" s="240"/>
      <c r="AG170" s="240"/>
      <c r="AH170" s="240"/>
      <c r="AI170" s="463"/>
      <c r="AJ170" s="240"/>
      <c r="AK170" s="240"/>
      <c r="AL170" s="240"/>
      <c r="AM170" s="240"/>
      <c r="AN170" s="240"/>
      <c r="AO170" s="240"/>
      <c r="AP170" s="240"/>
      <c r="AQ170" s="240"/>
      <c r="AR170" s="240"/>
    </row>
    <row r="171" spans="1:44" s="239" customFormat="1" x14ac:dyDescent="0.25">
      <c r="A171" s="318"/>
      <c r="B171" s="175"/>
      <c r="C171" s="175"/>
      <c r="D171" s="175"/>
      <c r="E171" s="175"/>
      <c r="F171" s="234"/>
      <c r="G171" s="175"/>
      <c r="H171" s="319"/>
      <c r="N171" s="732"/>
      <c r="S171" s="464"/>
      <c r="Z171" s="240"/>
      <c r="AA171" s="240"/>
      <c r="AE171" s="240"/>
      <c r="AF171" s="240"/>
      <c r="AG171" s="240"/>
      <c r="AH171" s="240"/>
      <c r="AI171" s="463"/>
      <c r="AJ171" s="240"/>
      <c r="AK171" s="240"/>
      <c r="AL171" s="240"/>
      <c r="AM171" s="240"/>
      <c r="AN171" s="240"/>
      <c r="AO171" s="240"/>
      <c r="AP171" s="240"/>
      <c r="AQ171" s="240"/>
      <c r="AR171" s="240"/>
    </row>
    <row r="172" spans="1:44" s="239" customFormat="1" x14ac:dyDescent="0.25">
      <c r="A172" s="318"/>
      <c r="B172" s="175"/>
      <c r="C172" s="175"/>
      <c r="D172" s="175"/>
      <c r="E172" s="175"/>
      <c r="F172" s="234"/>
      <c r="G172" s="175"/>
      <c r="H172" s="319"/>
      <c r="N172" s="732"/>
      <c r="S172" s="464"/>
      <c r="Z172" s="240"/>
      <c r="AA172" s="240"/>
      <c r="AE172" s="240"/>
      <c r="AF172" s="240"/>
      <c r="AG172" s="240"/>
      <c r="AH172" s="240"/>
      <c r="AI172" s="463"/>
      <c r="AJ172" s="240"/>
      <c r="AK172" s="240"/>
      <c r="AL172" s="240"/>
      <c r="AM172" s="240"/>
      <c r="AN172" s="240"/>
      <c r="AO172" s="240"/>
      <c r="AP172" s="240"/>
      <c r="AQ172" s="240"/>
      <c r="AR172" s="240"/>
    </row>
  </sheetData>
  <mergeCells count="45">
    <mergeCell ref="Z7:Z10"/>
    <mergeCell ref="O9:O10"/>
    <mergeCell ref="R9:R10"/>
    <mergeCell ref="T9:T10"/>
    <mergeCell ref="V9:V10"/>
    <mergeCell ref="X9:X10"/>
    <mergeCell ref="S9:S10"/>
    <mergeCell ref="M9:M10"/>
    <mergeCell ref="N8:N10"/>
    <mergeCell ref="J9:J10"/>
    <mergeCell ref="K9:K10"/>
    <mergeCell ref="J8:L8"/>
    <mergeCell ref="AL6:AR7"/>
    <mergeCell ref="AN9:AN10"/>
    <mergeCell ref="AR8:AR10"/>
    <mergeCell ref="AM9:AM10"/>
    <mergeCell ref="AO9:AO10"/>
    <mergeCell ref="AP9:AP10"/>
    <mergeCell ref="AL8:AL10"/>
    <mergeCell ref="AQ9:AQ10"/>
    <mergeCell ref="AM8:AP8"/>
    <mergeCell ref="AK8:AK10"/>
    <mergeCell ref="AA7:AA10"/>
    <mergeCell ref="AB7:AB10"/>
    <mergeCell ref="AG8:AG10"/>
    <mergeCell ref="AH8:AH10"/>
    <mergeCell ref="AC7:AC10"/>
    <mergeCell ref="AE8:AE10"/>
    <mergeCell ref="AF8:AF10"/>
    <mergeCell ref="A3:E3"/>
    <mergeCell ref="I8:I10"/>
    <mergeCell ref="I6:N7"/>
    <mergeCell ref="Y9:Y10"/>
    <mergeCell ref="O6:AK6"/>
    <mergeCell ref="U9:U10"/>
    <mergeCell ref="W9:W10"/>
    <mergeCell ref="Q9:Q10"/>
    <mergeCell ref="AE7:AK7"/>
    <mergeCell ref="L9:L10"/>
    <mergeCell ref="AD7:AD10"/>
    <mergeCell ref="P9:P10"/>
    <mergeCell ref="O7:U8"/>
    <mergeCell ref="V7:Y8"/>
    <mergeCell ref="AI8:AI10"/>
    <mergeCell ref="AJ8:AJ1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A1:AK37"/>
  <sheetViews>
    <sheetView workbookViewId="0">
      <pane xSplit="1" ySplit="12" topLeftCell="B19" activePane="bottomRight" state="frozen"/>
      <selection pane="topRight" activeCell="B1" sqref="B1"/>
      <selection pane="bottomLeft" activeCell="A13" sqref="A13"/>
      <selection pane="bottomRight" activeCell="AH16" sqref="AH16"/>
    </sheetView>
  </sheetViews>
  <sheetFormatPr defaultRowHeight="12.75" x14ac:dyDescent="0.2"/>
  <cols>
    <col min="1" max="1" width="7.85546875" style="18" customWidth="1"/>
    <col min="2" max="2" width="12.5703125" style="7" customWidth="1"/>
    <col min="3" max="3" width="12.140625" style="7" customWidth="1"/>
    <col min="4" max="4" width="11.85546875" style="7" customWidth="1"/>
    <col min="5" max="5" width="12.5703125" style="7" customWidth="1"/>
    <col min="6" max="6" width="12" style="7" customWidth="1"/>
    <col min="7" max="7" width="11.28515625" style="6" customWidth="1"/>
    <col min="8" max="8" width="9.140625" style="7"/>
    <col min="9" max="9" width="9.42578125" style="7" customWidth="1"/>
    <col min="10" max="10" width="9.140625" style="7"/>
    <col min="11" max="11" width="10.5703125" style="7" customWidth="1"/>
    <col min="12" max="12" width="10" style="7" customWidth="1"/>
    <col min="13" max="13" width="11" style="7" customWidth="1"/>
    <col min="14" max="14" width="9.5703125" style="7" customWidth="1"/>
    <col min="15" max="18" width="9.140625" style="7"/>
    <col min="19" max="19" width="10.140625" style="7" customWidth="1"/>
    <col min="20" max="20" width="9.85546875" style="7" customWidth="1"/>
    <col min="21" max="21" width="9.140625" style="7"/>
    <col min="22" max="22" width="11.42578125" style="7" customWidth="1"/>
    <col min="23" max="23" width="9.28515625" style="7" customWidth="1"/>
    <col min="24" max="24" width="9.140625" style="6"/>
    <col min="25" max="25" width="12.7109375" style="6" bestFit="1" customWidth="1"/>
    <col min="26" max="26" width="9.7109375" style="6" customWidth="1"/>
    <col min="27" max="27" width="9.140625" style="6"/>
    <col min="28" max="28" width="10.140625" style="6" customWidth="1"/>
    <col min="29" max="29" width="9.85546875" style="6" customWidth="1"/>
    <col min="30" max="30" width="9.140625" style="6"/>
    <col min="31" max="31" width="12.5703125" style="7" customWidth="1"/>
    <col min="32" max="36" width="10.85546875" style="7" customWidth="1"/>
    <col min="37" max="37" width="10.85546875" style="6" customWidth="1"/>
    <col min="253" max="253" width="7.42578125" customWidth="1"/>
    <col min="254" max="255" width="10.85546875" bestFit="1" customWidth="1"/>
    <col min="256" max="257" width="10.85546875" customWidth="1"/>
    <col min="258" max="262" width="10" customWidth="1"/>
    <col min="266" max="267" width="10.85546875" bestFit="1" customWidth="1"/>
    <col min="268" max="268" width="10" bestFit="1" customWidth="1"/>
    <col min="269" max="270" width="9.28515625" bestFit="1" customWidth="1"/>
    <col min="509" max="509" width="7.42578125" customWidth="1"/>
    <col min="510" max="511" width="10.85546875" bestFit="1" customWidth="1"/>
    <col min="512" max="513" width="10.85546875" customWidth="1"/>
    <col min="514" max="518" width="10" customWidth="1"/>
    <col min="522" max="523" width="10.85546875" bestFit="1" customWidth="1"/>
    <col min="524" max="524" width="10" bestFit="1" customWidth="1"/>
    <col min="525" max="526" width="9.28515625" bestFit="1" customWidth="1"/>
    <col min="765" max="765" width="7.42578125" customWidth="1"/>
    <col min="766" max="767" width="10.85546875" bestFit="1" customWidth="1"/>
    <col min="768" max="769" width="10.85546875" customWidth="1"/>
    <col min="770" max="774" width="10" customWidth="1"/>
    <col min="778" max="779" width="10.85546875" bestFit="1" customWidth="1"/>
    <col min="780" max="780" width="10" bestFit="1" customWidth="1"/>
    <col min="781" max="782" width="9.28515625" bestFit="1" customWidth="1"/>
    <col min="1021" max="1021" width="7.42578125" customWidth="1"/>
    <col min="1022" max="1023" width="10.85546875" bestFit="1" customWidth="1"/>
    <col min="1024" max="1025" width="10.85546875" customWidth="1"/>
    <col min="1026" max="1030" width="10" customWidth="1"/>
    <col min="1034" max="1035" width="10.85546875" bestFit="1" customWidth="1"/>
    <col min="1036" max="1036" width="10" bestFit="1" customWidth="1"/>
    <col min="1037" max="1038" width="9.28515625" bestFit="1" customWidth="1"/>
    <col min="1277" max="1277" width="7.42578125" customWidth="1"/>
    <col min="1278" max="1279" width="10.85546875" bestFit="1" customWidth="1"/>
    <col min="1280" max="1281" width="10.85546875" customWidth="1"/>
    <col min="1282" max="1286" width="10" customWidth="1"/>
    <col min="1290" max="1291" width="10.85546875" bestFit="1" customWidth="1"/>
    <col min="1292" max="1292" width="10" bestFit="1" customWidth="1"/>
    <col min="1293" max="1294" width="9.28515625" bestFit="1" customWidth="1"/>
    <col min="1533" max="1533" width="7.42578125" customWidth="1"/>
    <col min="1534" max="1535" width="10.85546875" bestFit="1" customWidth="1"/>
    <col min="1536" max="1537" width="10.85546875" customWidth="1"/>
    <col min="1538" max="1542" width="10" customWidth="1"/>
    <col min="1546" max="1547" width="10.85546875" bestFit="1" customWidth="1"/>
    <col min="1548" max="1548" width="10" bestFit="1" customWidth="1"/>
    <col min="1549" max="1550" width="9.28515625" bestFit="1" customWidth="1"/>
    <col min="1789" max="1789" width="7.42578125" customWidth="1"/>
    <col min="1790" max="1791" width="10.85546875" bestFit="1" customWidth="1"/>
    <col min="1792" max="1793" width="10.85546875" customWidth="1"/>
    <col min="1794" max="1798" width="10" customWidth="1"/>
    <col min="1802" max="1803" width="10.85546875" bestFit="1" customWidth="1"/>
    <col min="1804" max="1804" width="10" bestFit="1" customWidth="1"/>
    <col min="1805" max="1806" width="9.28515625" bestFit="1" customWidth="1"/>
    <col min="2045" max="2045" width="7.42578125" customWidth="1"/>
    <col min="2046" max="2047" width="10.85546875" bestFit="1" customWidth="1"/>
    <col min="2048" max="2049" width="10.85546875" customWidth="1"/>
    <col min="2050" max="2054" width="10" customWidth="1"/>
    <col min="2058" max="2059" width="10.85546875" bestFit="1" customWidth="1"/>
    <col min="2060" max="2060" width="10" bestFit="1" customWidth="1"/>
    <col min="2061" max="2062" width="9.28515625" bestFit="1" customWidth="1"/>
    <col min="2301" max="2301" width="7.42578125" customWidth="1"/>
    <col min="2302" max="2303" width="10.85546875" bestFit="1" customWidth="1"/>
    <col min="2304" max="2305" width="10.85546875" customWidth="1"/>
    <col min="2306" max="2310" width="10" customWidth="1"/>
    <col min="2314" max="2315" width="10.85546875" bestFit="1" customWidth="1"/>
    <col min="2316" max="2316" width="10" bestFit="1" customWidth="1"/>
    <col min="2317" max="2318" width="9.28515625" bestFit="1" customWidth="1"/>
    <col min="2557" max="2557" width="7.42578125" customWidth="1"/>
    <col min="2558" max="2559" width="10.85546875" bestFit="1" customWidth="1"/>
    <col min="2560" max="2561" width="10.85546875" customWidth="1"/>
    <col min="2562" max="2566" width="10" customWidth="1"/>
    <col min="2570" max="2571" width="10.85546875" bestFit="1" customWidth="1"/>
    <col min="2572" max="2572" width="10" bestFit="1" customWidth="1"/>
    <col min="2573" max="2574" width="9.28515625" bestFit="1" customWidth="1"/>
    <col min="2813" max="2813" width="7.42578125" customWidth="1"/>
    <col min="2814" max="2815" width="10.85546875" bestFit="1" customWidth="1"/>
    <col min="2816" max="2817" width="10.85546875" customWidth="1"/>
    <col min="2818" max="2822" width="10" customWidth="1"/>
    <col min="2826" max="2827" width="10.85546875" bestFit="1" customWidth="1"/>
    <col min="2828" max="2828" width="10" bestFit="1" customWidth="1"/>
    <col min="2829" max="2830" width="9.28515625" bestFit="1" customWidth="1"/>
    <col min="3069" max="3069" width="7.42578125" customWidth="1"/>
    <col min="3070" max="3071" width="10.85546875" bestFit="1" customWidth="1"/>
    <col min="3072" max="3073" width="10.85546875" customWidth="1"/>
    <col min="3074" max="3078" width="10" customWidth="1"/>
    <col min="3082" max="3083" width="10.85546875" bestFit="1" customWidth="1"/>
    <col min="3084" max="3084" width="10" bestFit="1" customWidth="1"/>
    <col min="3085" max="3086" width="9.28515625" bestFit="1" customWidth="1"/>
    <col min="3325" max="3325" width="7.42578125" customWidth="1"/>
    <col min="3326" max="3327" width="10.85546875" bestFit="1" customWidth="1"/>
    <col min="3328" max="3329" width="10.85546875" customWidth="1"/>
    <col min="3330" max="3334" width="10" customWidth="1"/>
    <col min="3338" max="3339" width="10.85546875" bestFit="1" customWidth="1"/>
    <col min="3340" max="3340" width="10" bestFit="1" customWidth="1"/>
    <col min="3341" max="3342" width="9.28515625" bestFit="1" customWidth="1"/>
    <col min="3581" max="3581" width="7.42578125" customWidth="1"/>
    <col min="3582" max="3583" width="10.85546875" bestFit="1" customWidth="1"/>
    <col min="3584" max="3585" width="10.85546875" customWidth="1"/>
    <col min="3586" max="3590" width="10" customWidth="1"/>
    <col min="3594" max="3595" width="10.85546875" bestFit="1" customWidth="1"/>
    <col min="3596" max="3596" width="10" bestFit="1" customWidth="1"/>
    <col min="3597" max="3598" width="9.28515625" bestFit="1" customWidth="1"/>
    <col min="3837" max="3837" width="7.42578125" customWidth="1"/>
    <col min="3838" max="3839" width="10.85546875" bestFit="1" customWidth="1"/>
    <col min="3840" max="3841" width="10.85546875" customWidth="1"/>
    <col min="3842" max="3846" width="10" customWidth="1"/>
    <col min="3850" max="3851" width="10.85546875" bestFit="1" customWidth="1"/>
    <col min="3852" max="3852" width="10" bestFit="1" customWidth="1"/>
    <col min="3853" max="3854" width="9.28515625" bestFit="1" customWidth="1"/>
    <col min="4093" max="4093" width="7.42578125" customWidth="1"/>
    <col min="4094" max="4095" width="10.85546875" bestFit="1" customWidth="1"/>
    <col min="4096" max="4097" width="10.85546875" customWidth="1"/>
    <col min="4098" max="4102" width="10" customWidth="1"/>
    <col min="4106" max="4107" width="10.85546875" bestFit="1" customWidth="1"/>
    <col min="4108" max="4108" width="10" bestFit="1" customWidth="1"/>
    <col min="4109" max="4110" width="9.28515625" bestFit="1" customWidth="1"/>
    <col min="4349" max="4349" width="7.42578125" customWidth="1"/>
    <col min="4350" max="4351" width="10.85546875" bestFit="1" customWidth="1"/>
    <col min="4352" max="4353" width="10.85546875" customWidth="1"/>
    <col min="4354" max="4358" width="10" customWidth="1"/>
    <col min="4362" max="4363" width="10.85546875" bestFit="1" customWidth="1"/>
    <col min="4364" max="4364" width="10" bestFit="1" customWidth="1"/>
    <col min="4365" max="4366" width="9.28515625" bestFit="1" customWidth="1"/>
    <col min="4605" max="4605" width="7.42578125" customWidth="1"/>
    <col min="4606" max="4607" width="10.85546875" bestFit="1" customWidth="1"/>
    <col min="4608" max="4609" width="10.85546875" customWidth="1"/>
    <col min="4610" max="4614" width="10" customWidth="1"/>
    <col min="4618" max="4619" width="10.85546875" bestFit="1" customWidth="1"/>
    <col min="4620" max="4620" width="10" bestFit="1" customWidth="1"/>
    <col min="4621" max="4622" width="9.28515625" bestFit="1" customWidth="1"/>
    <col min="4861" max="4861" width="7.42578125" customWidth="1"/>
    <col min="4862" max="4863" width="10.85546875" bestFit="1" customWidth="1"/>
    <col min="4864" max="4865" width="10.85546875" customWidth="1"/>
    <col min="4866" max="4870" width="10" customWidth="1"/>
    <col min="4874" max="4875" width="10.85546875" bestFit="1" customWidth="1"/>
    <col min="4876" max="4876" width="10" bestFit="1" customWidth="1"/>
    <col min="4877" max="4878" width="9.28515625" bestFit="1" customWidth="1"/>
    <col min="5117" max="5117" width="7.42578125" customWidth="1"/>
    <col min="5118" max="5119" width="10.85546875" bestFit="1" customWidth="1"/>
    <col min="5120" max="5121" width="10.85546875" customWidth="1"/>
    <col min="5122" max="5126" width="10" customWidth="1"/>
    <col min="5130" max="5131" width="10.85546875" bestFit="1" customWidth="1"/>
    <col min="5132" max="5132" width="10" bestFit="1" customWidth="1"/>
    <col min="5133" max="5134" width="9.28515625" bestFit="1" customWidth="1"/>
    <col min="5373" max="5373" width="7.42578125" customWidth="1"/>
    <col min="5374" max="5375" width="10.85546875" bestFit="1" customWidth="1"/>
    <col min="5376" max="5377" width="10.85546875" customWidth="1"/>
    <col min="5378" max="5382" width="10" customWidth="1"/>
    <col min="5386" max="5387" width="10.85546875" bestFit="1" customWidth="1"/>
    <col min="5388" max="5388" width="10" bestFit="1" customWidth="1"/>
    <col min="5389" max="5390" width="9.28515625" bestFit="1" customWidth="1"/>
    <col min="5629" max="5629" width="7.42578125" customWidth="1"/>
    <col min="5630" max="5631" width="10.85546875" bestFit="1" customWidth="1"/>
    <col min="5632" max="5633" width="10.85546875" customWidth="1"/>
    <col min="5634" max="5638" width="10" customWidth="1"/>
    <col min="5642" max="5643" width="10.85546875" bestFit="1" customWidth="1"/>
    <col min="5644" max="5644" width="10" bestFit="1" customWidth="1"/>
    <col min="5645" max="5646" width="9.28515625" bestFit="1" customWidth="1"/>
    <col min="5885" max="5885" width="7.42578125" customWidth="1"/>
    <col min="5886" max="5887" width="10.85546875" bestFit="1" customWidth="1"/>
    <col min="5888" max="5889" width="10.85546875" customWidth="1"/>
    <col min="5890" max="5894" width="10" customWidth="1"/>
    <col min="5898" max="5899" width="10.85546875" bestFit="1" customWidth="1"/>
    <col min="5900" max="5900" width="10" bestFit="1" customWidth="1"/>
    <col min="5901" max="5902" width="9.28515625" bestFit="1" customWidth="1"/>
    <col min="6141" max="6141" width="7.42578125" customWidth="1"/>
    <col min="6142" max="6143" width="10.85546875" bestFit="1" customWidth="1"/>
    <col min="6144" max="6145" width="10.85546875" customWidth="1"/>
    <col min="6146" max="6150" width="10" customWidth="1"/>
    <col min="6154" max="6155" width="10.85546875" bestFit="1" customWidth="1"/>
    <col min="6156" max="6156" width="10" bestFit="1" customWidth="1"/>
    <col min="6157" max="6158" width="9.28515625" bestFit="1" customWidth="1"/>
    <col min="6397" max="6397" width="7.42578125" customWidth="1"/>
    <col min="6398" max="6399" width="10.85546875" bestFit="1" customWidth="1"/>
    <col min="6400" max="6401" width="10.85546875" customWidth="1"/>
    <col min="6402" max="6406" width="10" customWidth="1"/>
    <col min="6410" max="6411" width="10.85546875" bestFit="1" customWidth="1"/>
    <col min="6412" max="6412" width="10" bestFit="1" customWidth="1"/>
    <col min="6413" max="6414" width="9.28515625" bestFit="1" customWidth="1"/>
    <col min="6653" max="6653" width="7.42578125" customWidth="1"/>
    <col min="6654" max="6655" width="10.85546875" bestFit="1" customWidth="1"/>
    <col min="6656" max="6657" width="10.85546875" customWidth="1"/>
    <col min="6658" max="6662" width="10" customWidth="1"/>
    <col min="6666" max="6667" width="10.85546875" bestFit="1" customWidth="1"/>
    <col min="6668" max="6668" width="10" bestFit="1" customWidth="1"/>
    <col min="6669" max="6670" width="9.28515625" bestFit="1" customWidth="1"/>
    <col min="6909" max="6909" width="7.42578125" customWidth="1"/>
    <col min="6910" max="6911" width="10.85546875" bestFit="1" customWidth="1"/>
    <col min="6912" max="6913" width="10.85546875" customWidth="1"/>
    <col min="6914" max="6918" width="10" customWidth="1"/>
    <col min="6922" max="6923" width="10.85546875" bestFit="1" customWidth="1"/>
    <col min="6924" max="6924" width="10" bestFit="1" customWidth="1"/>
    <col min="6925" max="6926" width="9.28515625" bestFit="1" customWidth="1"/>
    <col min="7165" max="7165" width="7.42578125" customWidth="1"/>
    <col min="7166" max="7167" width="10.85546875" bestFit="1" customWidth="1"/>
    <col min="7168" max="7169" width="10.85546875" customWidth="1"/>
    <col min="7170" max="7174" width="10" customWidth="1"/>
    <col min="7178" max="7179" width="10.85546875" bestFit="1" customWidth="1"/>
    <col min="7180" max="7180" width="10" bestFit="1" customWidth="1"/>
    <col min="7181" max="7182" width="9.28515625" bestFit="1" customWidth="1"/>
    <col min="7421" max="7421" width="7.42578125" customWidth="1"/>
    <col min="7422" max="7423" width="10.85546875" bestFit="1" customWidth="1"/>
    <col min="7424" max="7425" width="10.85546875" customWidth="1"/>
    <col min="7426" max="7430" width="10" customWidth="1"/>
    <col min="7434" max="7435" width="10.85546875" bestFit="1" customWidth="1"/>
    <col min="7436" max="7436" width="10" bestFit="1" customWidth="1"/>
    <col min="7437" max="7438" width="9.28515625" bestFit="1" customWidth="1"/>
    <col min="7677" max="7677" width="7.42578125" customWidth="1"/>
    <col min="7678" max="7679" width="10.85546875" bestFit="1" customWidth="1"/>
    <col min="7680" max="7681" width="10.85546875" customWidth="1"/>
    <col min="7682" max="7686" width="10" customWidth="1"/>
    <col min="7690" max="7691" width="10.85546875" bestFit="1" customWidth="1"/>
    <col min="7692" max="7692" width="10" bestFit="1" customWidth="1"/>
    <col min="7693" max="7694" width="9.28515625" bestFit="1" customWidth="1"/>
    <col min="7933" max="7933" width="7.42578125" customWidth="1"/>
    <col min="7934" max="7935" width="10.85546875" bestFit="1" customWidth="1"/>
    <col min="7936" max="7937" width="10.85546875" customWidth="1"/>
    <col min="7938" max="7942" width="10" customWidth="1"/>
    <col min="7946" max="7947" width="10.85546875" bestFit="1" customWidth="1"/>
    <col min="7948" max="7948" width="10" bestFit="1" customWidth="1"/>
    <col min="7949" max="7950" width="9.28515625" bestFit="1" customWidth="1"/>
    <col min="8189" max="8189" width="7.42578125" customWidth="1"/>
    <col min="8190" max="8191" width="10.85546875" bestFit="1" customWidth="1"/>
    <col min="8192" max="8193" width="10.85546875" customWidth="1"/>
    <col min="8194" max="8198" width="10" customWidth="1"/>
    <col min="8202" max="8203" width="10.85546875" bestFit="1" customWidth="1"/>
    <col min="8204" max="8204" width="10" bestFit="1" customWidth="1"/>
    <col min="8205" max="8206" width="9.28515625" bestFit="1" customWidth="1"/>
    <col min="8445" max="8445" width="7.42578125" customWidth="1"/>
    <col min="8446" max="8447" width="10.85546875" bestFit="1" customWidth="1"/>
    <col min="8448" max="8449" width="10.85546875" customWidth="1"/>
    <col min="8450" max="8454" width="10" customWidth="1"/>
    <col min="8458" max="8459" width="10.85546875" bestFit="1" customWidth="1"/>
    <col min="8460" max="8460" width="10" bestFit="1" customWidth="1"/>
    <col min="8461" max="8462" width="9.28515625" bestFit="1" customWidth="1"/>
    <col min="8701" max="8701" width="7.42578125" customWidth="1"/>
    <col min="8702" max="8703" width="10.85546875" bestFit="1" customWidth="1"/>
    <col min="8704" max="8705" width="10.85546875" customWidth="1"/>
    <col min="8706" max="8710" width="10" customWidth="1"/>
    <col min="8714" max="8715" width="10.85546875" bestFit="1" customWidth="1"/>
    <col min="8716" max="8716" width="10" bestFit="1" customWidth="1"/>
    <col min="8717" max="8718" width="9.28515625" bestFit="1" customWidth="1"/>
    <col min="8957" max="8957" width="7.42578125" customWidth="1"/>
    <col min="8958" max="8959" width="10.85546875" bestFit="1" customWidth="1"/>
    <col min="8960" max="8961" width="10.85546875" customWidth="1"/>
    <col min="8962" max="8966" width="10" customWidth="1"/>
    <col min="8970" max="8971" width="10.85546875" bestFit="1" customWidth="1"/>
    <col min="8972" max="8972" width="10" bestFit="1" customWidth="1"/>
    <col min="8973" max="8974" width="9.28515625" bestFit="1" customWidth="1"/>
    <col min="9213" max="9213" width="7.42578125" customWidth="1"/>
    <col min="9214" max="9215" width="10.85546875" bestFit="1" customWidth="1"/>
    <col min="9216" max="9217" width="10.85546875" customWidth="1"/>
    <col min="9218" max="9222" width="10" customWidth="1"/>
    <col min="9226" max="9227" width="10.85546875" bestFit="1" customWidth="1"/>
    <col min="9228" max="9228" width="10" bestFit="1" customWidth="1"/>
    <col min="9229" max="9230" width="9.28515625" bestFit="1" customWidth="1"/>
    <col min="9469" max="9469" width="7.42578125" customWidth="1"/>
    <col min="9470" max="9471" width="10.85546875" bestFit="1" customWidth="1"/>
    <col min="9472" max="9473" width="10.85546875" customWidth="1"/>
    <col min="9474" max="9478" width="10" customWidth="1"/>
    <col min="9482" max="9483" width="10.85546875" bestFit="1" customWidth="1"/>
    <col min="9484" max="9484" width="10" bestFit="1" customWidth="1"/>
    <col min="9485" max="9486" width="9.28515625" bestFit="1" customWidth="1"/>
    <col min="9725" max="9725" width="7.42578125" customWidth="1"/>
    <col min="9726" max="9727" width="10.85546875" bestFit="1" customWidth="1"/>
    <col min="9728" max="9729" width="10.85546875" customWidth="1"/>
    <col min="9730" max="9734" width="10" customWidth="1"/>
    <col min="9738" max="9739" width="10.85546875" bestFit="1" customWidth="1"/>
    <col min="9740" max="9740" width="10" bestFit="1" customWidth="1"/>
    <col min="9741" max="9742" width="9.28515625" bestFit="1" customWidth="1"/>
    <col min="9981" max="9981" width="7.42578125" customWidth="1"/>
    <col min="9982" max="9983" width="10.85546875" bestFit="1" customWidth="1"/>
    <col min="9984" max="9985" width="10.85546875" customWidth="1"/>
    <col min="9986" max="9990" width="10" customWidth="1"/>
    <col min="9994" max="9995" width="10.85546875" bestFit="1" customWidth="1"/>
    <col min="9996" max="9996" width="10" bestFit="1" customWidth="1"/>
    <col min="9997" max="9998" width="9.28515625" bestFit="1" customWidth="1"/>
    <col min="10237" max="10237" width="7.42578125" customWidth="1"/>
    <col min="10238" max="10239" width="10.85546875" bestFit="1" customWidth="1"/>
    <col min="10240" max="10241" width="10.85546875" customWidth="1"/>
    <col min="10242" max="10246" width="10" customWidth="1"/>
    <col min="10250" max="10251" width="10.85546875" bestFit="1" customWidth="1"/>
    <col min="10252" max="10252" width="10" bestFit="1" customWidth="1"/>
    <col min="10253" max="10254" width="9.28515625" bestFit="1" customWidth="1"/>
    <col min="10493" max="10493" width="7.42578125" customWidth="1"/>
    <col min="10494" max="10495" width="10.85546875" bestFit="1" customWidth="1"/>
    <col min="10496" max="10497" width="10.85546875" customWidth="1"/>
    <col min="10498" max="10502" width="10" customWidth="1"/>
    <col min="10506" max="10507" width="10.85546875" bestFit="1" customWidth="1"/>
    <col min="10508" max="10508" width="10" bestFit="1" customWidth="1"/>
    <col min="10509" max="10510" width="9.28515625" bestFit="1" customWidth="1"/>
    <col min="10749" max="10749" width="7.42578125" customWidth="1"/>
    <col min="10750" max="10751" width="10.85546875" bestFit="1" customWidth="1"/>
    <col min="10752" max="10753" width="10.85546875" customWidth="1"/>
    <col min="10754" max="10758" width="10" customWidth="1"/>
    <col min="10762" max="10763" width="10.85546875" bestFit="1" customWidth="1"/>
    <col min="10764" max="10764" width="10" bestFit="1" customWidth="1"/>
    <col min="10765" max="10766" width="9.28515625" bestFit="1" customWidth="1"/>
    <col min="11005" max="11005" width="7.42578125" customWidth="1"/>
    <col min="11006" max="11007" width="10.85546875" bestFit="1" customWidth="1"/>
    <col min="11008" max="11009" width="10.85546875" customWidth="1"/>
    <col min="11010" max="11014" width="10" customWidth="1"/>
    <col min="11018" max="11019" width="10.85546875" bestFit="1" customWidth="1"/>
    <col min="11020" max="11020" width="10" bestFit="1" customWidth="1"/>
    <col min="11021" max="11022" width="9.28515625" bestFit="1" customWidth="1"/>
    <col min="11261" max="11261" width="7.42578125" customWidth="1"/>
    <col min="11262" max="11263" width="10.85546875" bestFit="1" customWidth="1"/>
    <col min="11264" max="11265" width="10.85546875" customWidth="1"/>
    <col min="11266" max="11270" width="10" customWidth="1"/>
    <col min="11274" max="11275" width="10.85546875" bestFit="1" customWidth="1"/>
    <col min="11276" max="11276" width="10" bestFit="1" customWidth="1"/>
    <col min="11277" max="11278" width="9.28515625" bestFit="1" customWidth="1"/>
    <col min="11517" max="11517" width="7.42578125" customWidth="1"/>
    <col min="11518" max="11519" width="10.85546875" bestFit="1" customWidth="1"/>
    <col min="11520" max="11521" width="10.85546875" customWidth="1"/>
    <col min="11522" max="11526" width="10" customWidth="1"/>
    <col min="11530" max="11531" width="10.85546875" bestFit="1" customWidth="1"/>
    <col min="11532" max="11532" width="10" bestFit="1" customWidth="1"/>
    <col min="11533" max="11534" width="9.28515625" bestFit="1" customWidth="1"/>
    <col min="11773" max="11773" width="7.42578125" customWidth="1"/>
    <col min="11774" max="11775" width="10.85546875" bestFit="1" customWidth="1"/>
    <col min="11776" max="11777" width="10.85546875" customWidth="1"/>
    <col min="11778" max="11782" width="10" customWidth="1"/>
    <col min="11786" max="11787" width="10.85546875" bestFit="1" customWidth="1"/>
    <col min="11788" max="11788" width="10" bestFit="1" customWidth="1"/>
    <col min="11789" max="11790" width="9.28515625" bestFit="1" customWidth="1"/>
    <col min="12029" max="12029" width="7.42578125" customWidth="1"/>
    <col min="12030" max="12031" width="10.85546875" bestFit="1" customWidth="1"/>
    <col min="12032" max="12033" width="10.85546875" customWidth="1"/>
    <col min="12034" max="12038" width="10" customWidth="1"/>
    <col min="12042" max="12043" width="10.85546875" bestFit="1" customWidth="1"/>
    <col min="12044" max="12044" width="10" bestFit="1" customWidth="1"/>
    <col min="12045" max="12046" width="9.28515625" bestFit="1" customWidth="1"/>
    <col min="12285" max="12285" width="7.42578125" customWidth="1"/>
    <col min="12286" max="12287" width="10.85546875" bestFit="1" customWidth="1"/>
    <col min="12288" max="12289" width="10.85546875" customWidth="1"/>
    <col min="12290" max="12294" width="10" customWidth="1"/>
    <col min="12298" max="12299" width="10.85546875" bestFit="1" customWidth="1"/>
    <col min="12300" max="12300" width="10" bestFit="1" customWidth="1"/>
    <col min="12301" max="12302" width="9.28515625" bestFit="1" customWidth="1"/>
    <col min="12541" max="12541" width="7.42578125" customWidth="1"/>
    <col min="12542" max="12543" width="10.85546875" bestFit="1" customWidth="1"/>
    <col min="12544" max="12545" width="10.85546875" customWidth="1"/>
    <col min="12546" max="12550" width="10" customWidth="1"/>
    <col min="12554" max="12555" width="10.85546875" bestFit="1" customWidth="1"/>
    <col min="12556" max="12556" width="10" bestFit="1" customWidth="1"/>
    <col min="12557" max="12558" width="9.28515625" bestFit="1" customWidth="1"/>
    <col min="12797" max="12797" width="7.42578125" customWidth="1"/>
    <col min="12798" max="12799" width="10.85546875" bestFit="1" customWidth="1"/>
    <col min="12800" max="12801" width="10.85546875" customWidth="1"/>
    <col min="12802" max="12806" width="10" customWidth="1"/>
    <col min="12810" max="12811" width="10.85546875" bestFit="1" customWidth="1"/>
    <col min="12812" max="12812" width="10" bestFit="1" customWidth="1"/>
    <col min="12813" max="12814" width="9.28515625" bestFit="1" customWidth="1"/>
    <col min="13053" max="13053" width="7.42578125" customWidth="1"/>
    <col min="13054" max="13055" width="10.85546875" bestFit="1" customWidth="1"/>
    <col min="13056" max="13057" width="10.85546875" customWidth="1"/>
    <col min="13058" max="13062" width="10" customWidth="1"/>
    <col min="13066" max="13067" width="10.85546875" bestFit="1" customWidth="1"/>
    <col min="13068" max="13068" width="10" bestFit="1" customWidth="1"/>
    <col min="13069" max="13070" width="9.28515625" bestFit="1" customWidth="1"/>
    <col min="13309" max="13309" width="7.42578125" customWidth="1"/>
    <col min="13310" max="13311" width="10.85546875" bestFit="1" customWidth="1"/>
    <col min="13312" max="13313" width="10.85546875" customWidth="1"/>
    <col min="13314" max="13318" width="10" customWidth="1"/>
    <col min="13322" max="13323" width="10.85546875" bestFit="1" customWidth="1"/>
    <col min="13324" max="13324" width="10" bestFit="1" customWidth="1"/>
    <col min="13325" max="13326" width="9.28515625" bestFit="1" customWidth="1"/>
    <col min="13565" max="13565" width="7.42578125" customWidth="1"/>
    <col min="13566" max="13567" width="10.85546875" bestFit="1" customWidth="1"/>
    <col min="13568" max="13569" width="10.85546875" customWidth="1"/>
    <col min="13570" max="13574" width="10" customWidth="1"/>
    <col min="13578" max="13579" width="10.85546875" bestFit="1" customWidth="1"/>
    <col min="13580" max="13580" width="10" bestFit="1" customWidth="1"/>
    <col min="13581" max="13582" width="9.28515625" bestFit="1" customWidth="1"/>
    <col min="13821" max="13821" width="7.42578125" customWidth="1"/>
    <col min="13822" max="13823" width="10.85546875" bestFit="1" customWidth="1"/>
    <col min="13824" max="13825" width="10.85546875" customWidth="1"/>
    <col min="13826" max="13830" width="10" customWidth="1"/>
    <col min="13834" max="13835" width="10.85546875" bestFit="1" customWidth="1"/>
    <col min="13836" max="13836" width="10" bestFit="1" customWidth="1"/>
    <col min="13837" max="13838" width="9.28515625" bestFit="1" customWidth="1"/>
    <col min="14077" max="14077" width="7.42578125" customWidth="1"/>
    <col min="14078" max="14079" width="10.85546875" bestFit="1" customWidth="1"/>
    <col min="14080" max="14081" width="10.85546875" customWidth="1"/>
    <col min="14082" max="14086" width="10" customWidth="1"/>
    <col min="14090" max="14091" width="10.85546875" bestFit="1" customWidth="1"/>
    <col min="14092" max="14092" width="10" bestFit="1" customWidth="1"/>
    <col min="14093" max="14094" width="9.28515625" bestFit="1" customWidth="1"/>
    <col min="14333" max="14333" width="7.42578125" customWidth="1"/>
    <col min="14334" max="14335" width="10.85546875" bestFit="1" customWidth="1"/>
    <col min="14336" max="14337" width="10.85546875" customWidth="1"/>
    <col min="14338" max="14342" width="10" customWidth="1"/>
    <col min="14346" max="14347" width="10.85546875" bestFit="1" customWidth="1"/>
    <col min="14348" max="14348" width="10" bestFit="1" customWidth="1"/>
    <col min="14349" max="14350" width="9.28515625" bestFit="1" customWidth="1"/>
    <col min="14589" max="14589" width="7.42578125" customWidth="1"/>
    <col min="14590" max="14591" width="10.85546875" bestFit="1" customWidth="1"/>
    <col min="14592" max="14593" width="10.85546875" customWidth="1"/>
    <col min="14594" max="14598" width="10" customWidth="1"/>
    <col min="14602" max="14603" width="10.85546875" bestFit="1" customWidth="1"/>
    <col min="14604" max="14604" width="10" bestFit="1" customWidth="1"/>
    <col min="14605" max="14606" width="9.28515625" bestFit="1" customWidth="1"/>
    <col min="14845" max="14845" width="7.42578125" customWidth="1"/>
    <col min="14846" max="14847" width="10.85546875" bestFit="1" customWidth="1"/>
    <col min="14848" max="14849" width="10.85546875" customWidth="1"/>
    <col min="14850" max="14854" width="10" customWidth="1"/>
    <col min="14858" max="14859" width="10.85546875" bestFit="1" customWidth="1"/>
    <col min="14860" max="14860" width="10" bestFit="1" customWidth="1"/>
    <col min="14861" max="14862" width="9.28515625" bestFit="1" customWidth="1"/>
    <col min="15101" max="15101" width="7.42578125" customWidth="1"/>
    <col min="15102" max="15103" width="10.85546875" bestFit="1" customWidth="1"/>
    <col min="15104" max="15105" width="10.85546875" customWidth="1"/>
    <col min="15106" max="15110" width="10" customWidth="1"/>
    <col min="15114" max="15115" width="10.85546875" bestFit="1" customWidth="1"/>
    <col min="15116" max="15116" width="10" bestFit="1" customWidth="1"/>
    <col min="15117" max="15118" width="9.28515625" bestFit="1" customWidth="1"/>
    <col min="15357" max="15357" width="7.42578125" customWidth="1"/>
    <col min="15358" max="15359" width="10.85546875" bestFit="1" customWidth="1"/>
    <col min="15360" max="15361" width="10.85546875" customWidth="1"/>
    <col min="15362" max="15366" width="10" customWidth="1"/>
    <col min="15370" max="15371" width="10.85546875" bestFit="1" customWidth="1"/>
    <col min="15372" max="15372" width="10" bestFit="1" customWidth="1"/>
    <col min="15373" max="15374" width="9.28515625" bestFit="1" customWidth="1"/>
  </cols>
  <sheetData>
    <row r="1" spans="1:37" x14ac:dyDescent="0.2">
      <c r="A1" s="40" t="s">
        <v>2</v>
      </c>
    </row>
    <row r="2" spans="1:37" x14ac:dyDescent="0.2">
      <c r="A2" s="40" t="s">
        <v>3</v>
      </c>
    </row>
    <row r="3" spans="1:37" x14ac:dyDescent="0.2">
      <c r="A3" s="974" t="s">
        <v>4</v>
      </c>
      <c r="B3" s="974"/>
      <c r="C3" s="974"/>
      <c r="D3" s="974"/>
      <c r="E3" s="974"/>
      <c r="F3" s="974"/>
      <c r="G3" s="974"/>
    </row>
    <row r="4" spans="1:37" x14ac:dyDescent="0.2">
      <c r="A4" s="5"/>
      <c r="AI4" s="13"/>
      <c r="AJ4" s="13"/>
    </row>
    <row r="5" spans="1:37" ht="16.5" customHeight="1" x14ac:dyDescent="0.25">
      <c r="A5" s="127" t="s">
        <v>841</v>
      </c>
      <c r="B5" s="475"/>
      <c r="C5" s="475"/>
      <c r="D5" s="47"/>
      <c r="E5" s="177"/>
      <c r="F5" s="177"/>
      <c r="G5" s="872"/>
      <c r="H5" s="49"/>
      <c r="I5" s="900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900"/>
      <c r="Z5" s="50"/>
      <c r="AA5" s="50"/>
      <c r="AB5" s="50"/>
      <c r="AC5" s="50"/>
      <c r="AD5" s="50"/>
    </row>
    <row r="6" spans="1:37" ht="15.75" thickBot="1" x14ac:dyDescent="0.3">
      <c r="A6" s="390"/>
      <c r="B6" s="391"/>
      <c r="C6" s="392"/>
      <c r="D6" s="391"/>
      <c r="E6" s="391"/>
      <c r="F6" s="391"/>
      <c r="G6" s="873"/>
      <c r="H6" s="322"/>
      <c r="I6" s="707" t="s">
        <v>832</v>
      </c>
      <c r="J6" s="49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49"/>
      <c r="V6" s="49"/>
      <c r="W6" s="49"/>
      <c r="X6" s="50"/>
      <c r="Y6" s="707" t="s">
        <v>832</v>
      </c>
      <c r="Z6" s="50"/>
      <c r="AA6" s="50"/>
      <c r="AB6" s="50"/>
      <c r="AC6" s="50"/>
      <c r="AD6" s="50"/>
      <c r="AE6" s="13"/>
    </row>
    <row r="7" spans="1:37" ht="15.75" customHeight="1" thickBot="1" x14ac:dyDescent="0.3">
      <c r="A7" s="9"/>
      <c r="B7" s="907" t="s">
        <v>801</v>
      </c>
      <c r="C7" s="908"/>
      <c r="D7" s="908"/>
      <c r="E7" s="908"/>
      <c r="F7" s="908"/>
      <c r="G7" s="909"/>
      <c r="H7" s="938" t="s">
        <v>822</v>
      </c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40"/>
      <c r="AE7" s="907" t="s">
        <v>840</v>
      </c>
      <c r="AF7" s="908"/>
      <c r="AG7" s="908"/>
      <c r="AH7" s="908"/>
      <c r="AI7" s="908"/>
      <c r="AJ7" s="908"/>
      <c r="AK7" s="909"/>
    </row>
    <row r="8" spans="1:37" ht="13.5" customHeight="1" thickBot="1" x14ac:dyDescent="0.25">
      <c r="B8" s="910"/>
      <c r="C8" s="911"/>
      <c r="D8" s="911"/>
      <c r="E8" s="911"/>
      <c r="F8" s="911"/>
      <c r="G8" s="912"/>
      <c r="H8" s="961" t="s">
        <v>773</v>
      </c>
      <c r="I8" s="961"/>
      <c r="J8" s="961"/>
      <c r="K8" s="961"/>
      <c r="L8" s="961"/>
      <c r="M8" s="961"/>
      <c r="N8" s="962"/>
      <c r="O8" s="965" t="s">
        <v>774</v>
      </c>
      <c r="P8" s="966"/>
      <c r="Q8" s="966"/>
      <c r="R8" s="967"/>
      <c r="S8" s="952" t="s">
        <v>793</v>
      </c>
      <c r="T8" s="933" t="s">
        <v>5</v>
      </c>
      <c r="U8" s="933" t="s">
        <v>266</v>
      </c>
      <c r="V8" s="933" t="s">
        <v>802</v>
      </c>
      <c r="W8" s="956" t="s">
        <v>275</v>
      </c>
      <c r="X8" s="958" t="s">
        <v>828</v>
      </c>
      <c r="Y8" s="959"/>
      <c r="Z8" s="959"/>
      <c r="AA8" s="959"/>
      <c r="AB8" s="959"/>
      <c r="AC8" s="959"/>
      <c r="AD8" s="960"/>
      <c r="AE8" s="910"/>
      <c r="AF8" s="911"/>
      <c r="AG8" s="911"/>
      <c r="AH8" s="911"/>
      <c r="AI8" s="911"/>
      <c r="AJ8" s="911"/>
      <c r="AK8" s="912"/>
    </row>
    <row r="9" spans="1:37" ht="12.75" customHeight="1" x14ac:dyDescent="0.2">
      <c r="B9" s="943" t="s">
        <v>6</v>
      </c>
      <c r="C9" s="941" t="s">
        <v>753</v>
      </c>
      <c r="D9" s="942"/>
      <c r="E9" s="942"/>
      <c r="F9" s="710"/>
      <c r="G9" s="913" t="s">
        <v>800</v>
      </c>
      <c r="H9" s="963"/>
      <c r="I9" s="963"/>
      <c r="J9" s="963"/>
      <c r="K9" s="963"/>
      <c r="L9" s="963"/>
      <c r="M9" s="963"/>
      <c r="N9" s="964"/>
      <c r="O9" s="968"/>
      <c r="P9" s="963"/>
      <c r="Q9" s="963"/>
      <c r="R9" s="964"/>
      <c r="S9" s="952"/>
      <c r="T9" s="933"/>
      <c r="U9" s="933"/>
      <c r="V9" s="933"/>
      <c r="W9" s="956"/>
      <c r="X9" s="969" t="s">
        <v>267</v>
      </c>
      <c r="Y9" s="926" t="s">
        <v>268</v>
      </c>
      <c r="Z9" s="935" t="s">
        <v>790</v>
      </c>
      <c r="AA9" s="926" t="s">
        <v>762</v>
      </c>
      <c r="AB9" s="926" t="s">
        <v>791</v>
      </c>
      <c r="AC9" s="929" t="s">
        <v>269</v>
      </c>
      <c r="AD9" s="948" t="s">
        <v>798</v>
      </c>
      <c r="AE9" s="923" t="s">
        <v>6</v>
      </c>
      <c r="AF9" s="920" t="s">
        <v>753</v>
      </c>
      <c r="AG9" s="920"/>
      <c r="AH9" s="920"/>
      <c r="AI9" s="920"/>
      <c r="AJ9" s="711"/>
      <c r="AK9" s="913" t="s">
        <v>800</v>
      </c>
    </row>
    <row r="10" spans="1:37" ht="24.75" customHeight="1" x14ac:dyDescent="0.2">
      <c r="A10"/>
      <c r="B10" s="944"/>
      <c r="C10" s="950" t="s">
        <v>259</v>
      </c>
      <c r="D10" s="901" t="s">
        <v>5</v>
      </c>
      <c r="E10" s="901" t="s">
        <v>1</v>
      </c>
      <c r="F10" s="901" t="s">
        <v>802</v>
      </c>
      <c r="G10" s="914"/>
      <c r="H10" s="905" t="s">
        <v>270</v>
      </c>
      <c r="I10" s="946" t="s">
        <v>788</v>
      </c>
      <c r="J10" s="946" t="s">
        <v>762</v>
      </c>
      <c r="K10" s="931" t="s">
        <v>805</v>
      </c>
      <c r="L10" s="931" t="s">
        <v>791</v>
      </c>
      <c r="M10" s="931" t="s">
        <v>269</v>
      </c>
      <c r="N10" s="954" t="s">
        <v>763</v>
      </c>
      <c r="O10" s="931" t="s">
        <v>271</v>
      </c>
      <c r="P10" s="903" t="s">
        <v>792</v>
      </c>
      <c r="Q10" s="931" t="s">
        <v>272</v>
      </c>
      <c r="R10" s="954" t="s">
        <v>722</v>
      </c>
      <c r="S10" s="952"/>
      <c r="T10" s="933"/>
      <c r="U10" s="933"/>
      <c r="V10" s="933"/>
      <c r="W10" s="956"/>
      <c r="X10" s="970"/>
      <c r="Y10" s="927"/>
      <c r="Z10" s="936"/>
      <c r="AA10" s="927"/>
      <c r="AB10" s="927"/>
      <c r="AC10" s="929"/>
      <c r="AD10" s="948"/>
      <c r="AE10" s="924"/>
      <c r="AF10" s="916" t="s">
        <v>259</v>
      </c>
      <c r="AG10" s="918" t="s">
        <v>265</v>
      </c>
      <c r="AH10" s="921" t="s">
        <v>5</v>
      </c>
      <c r="AI10" s="921" t="s">
        <v>1</v>
      </c>
      <c r="AJ10" s="921" t="s">
        <v>802</v>
      </c>
      <c r="AK10" s="914"/>
    </row>
    <row r="11" spans="1:37" s="4" customFormat="1" ht="27" customHeight="1" thickBot="1" x14ac:dyDescent="0.25">
      <c r="A11" s="10" t="s">
        <v>236</v>
      </c>
      <c r="B11" s="945"/>
      <c r="C11" s="951"/>
      <c r="D11" s="902"/>
      <c r="E11" s="902"/>
      <c r="F11" s="902"/>
      <c r="G11" s="915"/>
      <c r="H11" s="906"/>
      <c r="I11" s="947"/>
      <c r="J11" s="947"/>
      <c r="K11" s="932"/>
      <c r="L11" s="932"/>
      <c r="M11" s="932"/>
      <c r="N11" s="955"/>
      <c r="O11" s="932"/>
      <c r="P11" s="904"/>
      <c r="Q11" s="932"/>
      <c r="R11" s="955"/>
      <c r="S11" s="953"/>
      <c r="T11" s="934"/>
      <c r="U11" s="934"/>
      <c r="V11" s="934"/>
      <c r="W11" s="957"/>
      <c r="X11" s="971"/>
      <c r="Y11" s="928"/>
      <c r="Z11" s="937"/>
      <c r="AA11" s="928"/>
      <c r="AB11" s="928"/>
      <c r="AC11" s="930"/>
      <c r="AD11" s="949"/>
      <c r="AE11" s="925"/>
      <c r="AF11" s="917"/>
      <c r="AG11" s="919"/>
      <c r="AH11" s="922"/>
      <c r="AI11" s="922"/>
      <c r="AJ11" s="922"/>
      <c r="AK11" s="915"/>
    </row>
    <row r="12" spans="1:37" s="4" customFormat="1" ht="12" customHeight="1" thickBot="1" x14ac:dyDescent="0.25">
      <c r="A12" s="620" t="s">
        <v>237</v>
      </c>
      <c r="B12" s="575" t="s">
        <v>254</v>
      </c>
      <c r="C12" s="533" t="s">
        <v>255</v>
      </c>
      <c r="D12" s="533" t="s">
        <v>256</v>
      </c>
      <c r="E12" s="533" t="s">
        <v>257</v>
      </c>
      <c r="F12" s="533" t="s">
        <v>804</v>
      </c>
      <c r="G12" s="576" t="s">
        <v>827</v>
      </c>
      <c r="H12" s="534" t="s">
        <v>776</v>
      </c>
      <c r="I12" s="533" t="s">
        <v>789</v>
      </c>
      <c r="J12" s="533" t="s">
        <v>776</v>
      </c>
      <c r="K12" s="533" t="s">
        <v>776</v>
      </c>
      <c r="L12" s="533" t="s">
        <v>789</v>
      </c>
      <c r="M12" s="533" t="s">
        <v>789</v>
      </c>
      <c r="N12" s="533" t="s">
        <v>776</v>
      </c>
      <c r="O12" s="534" t="s">
        <v>777</v>
      </c>
      <c r="P12" s="533" t="s">
        <v>777</v>
      </c>
      <c r="Q12" s="533" t="s">
        <v>777</v>
      </c>
      <c r="R12" s="533" t="s">
        <v>777</v>
      </c>
      <c r="S12" s="534" t="s">
        <v>775</v>
      </c>
      <c r="T12" s="533" t="s">
        <v>273</v>
      </c>
      <c r="U12" s="533" t="s">
        <v>274</v>
      </c>
      <c r="V12" s="533" t="s">
        <v>803</v>
      </c>
      <c r="W12" s="580" t="s">
        <v>276</v>
      </c>
      <c r="X12" s="583" t="s">
        <v>826</v>
      </c>
      <c r="Y12" s="787" t="s">
        <v>826</v>
      </c>
      <c r="Z12" s="787" t="s">
        <v>826</v>
      </c>
      <c r="AA12" s="787" t="s">
        <v>826</v>
      </c>
      <c r="AB12" s="787" t="s">
        <v>826</v>
      </c>
      <c r="AC12" s="787" t="s">
        <v>826</v>
      </c>
      <c r="AD12" s="584" t="s">
        <v>826</v>
      </c>
      <c r="AE12" s="534" t="s">
        <v>254</v>
      </c>
      <c r="AF12" s="533" t="s">
        <v>255</v>
      </c>
      <c r="AG12" s="533" t="s">
        <v>260</v>
      </c>
      <c r="AH12" s="533" t="s">
        <v>256</v>
      </c>
      <c r="AI12" s="533" t="s">
        <v>257</v>
      </c>
      <c r="AJ12" s="580" t="s">
        <v>804</v>
      </c>
      <c r="AK12" s="584" t="s">
        <v>827</v>
      </c>
    </row>
    <row r="13" spans="1:37" x14ac:dyDescent="0.2">
      <c r="A13" s="859" t="s">
        <v>238</v>
      </c>
      <c r="B13" s="863">
        <f>'LB '!I366</f>
        <v>1622952060</v>
      </c>
      <c r="C13" s="864">
        <f>'LB '!J366</f>
        <v>1203970369</v>
      </c>
      <c r="D13" s="864">
        <f>'LB '!K366</f>
        <v>406941983</v>
      </c>
      <c r="E13" s="864">
        <f>'LB '!L366</f>
        <v>12039708</v>
      </c>
      <c r="F13" s="864">
        <f>'LB '!M366</f>
        <v>0</v>
      </c>
      <c r="G13" s="870">
        <f>'LB '!N366</f>
        <v>1791.4689000000001</v>
      </c>
      <c r="H13" s="866">
        <f>'LB '!O366</f>
        <v>-3613860</v>
      </c>
      <c r="I13" s="864">
        <f>'LB '!P366</f>
        <v>113267150</v>
      </c>
      <c r="J13" s="864">
        <f>'LB '!Q366</f>
        <v>1346215</v>
      </c>
      <c r="K13" s="864">
        <f>'LB '!R366</f>
        <v>1354661</v>
      </c>
      <c r="L13" s="864">
        <f>'LB '!S366</f>
        <v>0</v>
      </c>
      <c r="M13" s="864">
        <f>'LB '!T366</f>
        <v>0</v>
      </c>
      <c r="N13" s="864">
        <f>'LB '!U366</f>
        <v>112354166</v>
      </c>
      <c r="O13" s="864">
        <f>'LB '!V366</f>
        <v>3613860</v>
      </c>
      <c r="P13" s="864">
        <f>'LB '!W366</f>
        <v>665096</v>
      </c>
      <c r="Q13" s="864">
        <f>'LB '!X366</f>
        <v>0</v>
      </c>
      <c r="R13" s="864">
        <f>'LB '!Y366</f>
        <v>4278956</v>
      </c>
      <c r="S13" s="864">
        <f>'LB '!Z366</f>
        <v>116633122</v>
      </c>
      <c r="T13" s="864">
        <f>'LB '!AA366</f>
        <v>39421991</v>
      </c>
      <c r="U13" s="864">
        <f>'LB '!AB366</f>
        <v>1123537</v>
      </c>
      <c r="V13" s="864">
        <f>'LB '!AC366</f>
        <v>0</v>
      </c>
      <c r="W13" s="875">
        <f>'LB '!AD366</f>
        <v>157178650</v>
      </c>
      <c r="X13" s="879">
        <f>'LB '!AE366</f>
        <v>-4.1099999999999985</v>
      </c>
      <c r="Y13" s="868">
        <f>'LB '!AF366</f>
        <v>283.52999999999992</v>
      </c>
      <c r="Z13" s="868">
        <f>'LB '!AG366</f>
        <v>2.33</v>
      </c>
      <c r="AA13" s="868">
        <f>'LB '!AH366</f>
        <v>1.9500000000000002</v>
      </c>
      <c r="AB13" s="868">
        <f>'LB '!AI366</f>
        <v>0</v>
      </c>
      <c r="AC13" s="868">
        <f>'LB '!AJ366</f>
        <v>0</v>
      </c>
      <c r="AD13" s="870">
        <f>'LB '!AK366</f>
        <v>283.70000000000005</v>
      </c>
      <c r="AE13" s="866">
        <f>'LB '!AL366</f>
        <v>1780130710</v>
      </c>
      <c r="AF13" s="864">
        <f>'LB '!AM366</f>
        <v>1316324535</v>
      </c>
      <c r="AG13" s="864">
        <f>'LB '!AN366</f>
        <v>4278956</v>
      </c>
      <c r="AH13" s="864">
        <f>'LB '!AO366</f>
        <v>446363974</v>
      </c>
      <c r="AI13" s="864">
        <f>'LB '!AP366</f>
        <v>13163245</v>
      </c>
      <c r="AJ13" s="864">
        <f>'LB '!AQ366</f>
        <v>0</v>
      </c>
      <c r="AK13" s="870">
        <f>'LB '!AR366</f>
        <v>2075.168900000001</v>
      </c>
    </row>
    <row r="14" spans="1:37" x14ac:dyDescent="0.2">
      <c r="A14" s="860" t="s">
        <v>239</v>
      </c>
      <c r="B14" s="690">
        <f>FR!I103</f>
        <v>283533388</v>
      </c>
      <c r="C14" s="323">
        <f>FR!J103</f>
        <v>210336341</v>
      </c>
      <c r="D14" s="323">
        <f>FR!K103</f>
        <v>71093683</v>
      </c>
      <c r="E14" s="323">
        <f>FR!L103</f>
        <v>2103364</v>
      </c>
      <c r="F14" s="323">
        <f>FR!M103</f>
        <v>0</v>
      </c>
      <c r="G14" s="784">
        <f>FR!N103</f>
        <v>320.0856</v>
      </c>
      <c r="H14" s="382">
        <f>FR!O103</f>
        <v>-531600</v>
      </c>
      <c r="I14" s="323">
        <f>FR!P103</f>
        <v>29303623</v>
      </c>
      <c r="J14" s="323">
        <f>FR!Q103</f>
        <v>0</v>
      </c>
      <c r="K14" s="323">
        <f>FR!R103</f>
        <v>0</v>
      </c>
      <c r="L14" s="323">
        <f>FR!S103</f>
        <v>0</v>
      </c>
      <c r="M14" s="323">
        <f>FR!T103</f>
        <v>9763</v>
      </c>
      <c r="N14" s="323">
        <f>FR!U103</f>
        <v>28781786</v>
      </c>
      <c r="O14" s="323">
        <f>FR!V103</f>
        <v>531600</v>
      </c>
      <c r="P14" s="323">
        <f>FR!W103</f>
        <v>85425</v>
      </c>
      <c r="Q14" s="323">
        <f>FR!X103</f>
        <v>0</v>
      </c>
      <c r="R14" s="323">
        <f>FR!Y103</f>
        <v>617025</v>
      </c>
      <c r="S14" s="323">
        <f>FR!Z103</f>
        <v>29398811</v>
      </c>
      <c r="T14" s="323">
        <f>FR!AA103</f>
        <v>9936797</v>
      </c>
      <c r="U14" s="323">
        <f>FR!AB103</f>
        <v>287817</v>
      </c>
      <c r="V14" s="323">
        <f>FR!AC103</f>
        <v>0</v>
      </c>
      <c r="W14" s="876">
        <f>FR!AD103</f>
        <v>39623425</v>
      </c>
      <c r="X14" s="880">
        <f>FR!AE103</f>
        <v>-0.19</v>
      </c>
      <c r="Y14" s="324">
        <f>FR!AF103</f>
        <v>72.930000000000007</v>
      </c>
      <c r="Z14" s="324">
        <f>FR!AG103</f>
        <v>0</v>
      </c>
      <c r="AA14" s="324">
        <f>FR!AH103</f>
        <v>0</v>
      </c>
      <c r="AB14" s="324">
        <f>FR!AI103</f>
        <v>0</v>
      </c>
      <c r="AC14" s="324">
        <f>FR!AJ103</f>
        <v>0</v>
      </c>
      <c r="AD14" s="784">
        <f>FR!AK103</f>
        <v>72.740000000000009</v>
      </c>
      <c r="AE14" s="382">
        <f>FR!AL103</f>
        <v>323156813</v>
      </c>
      <c r="AF14" s="323">
        <f>FR!AM103</f>
        <v>239118127</v>
      </c>
      <c r="AG14" s="323">
        <f>FR!AN103</f>
        <v>617025</v>
      </c>
      <c r="AH14" s="323">
        <f>FR!AO103</f>
        <v>81030480</v>
      </c>
      <c r="AI14" s="323">
        <f>FR!AP103</f>
        <v>2391181</v>
      </c>
      <c r="AJ14" s="323">
        <f>FR!AQ103</f>
        <v>0</v>
      </c>
      <c r="AK14" s="784">
        <f>FR!AR103</f>
        <v>392.82560000000007</v>
      </c>
    </row>
    <row r="15" spans="1:37" s="3" customFormat="1" x14ac:dyDescent="0.2">
      <c r="A15" s="860" t="s">
        <v>240</v>
      </c>
      <c r="B15" s="690">
        <f>JN!I152</f>
        <v>567294592</v>
      </c>
      <c r="C15" s="323">
        <f>JN!J152</f>
        <v>420841680</v>
      </c>
      <c r="D15" s="323">
        <f>JN!K152</f>
        <v>142244490</v>
      </c>
      <c r="E15" s="323">
        <f>JN!L152</f>
        <v>4208422</v>
      </c>
      <c r="F15" s="323">
        <f>JN!M152</f>
        <v>0</v>
      </c>
      <c r="G15" s="784">
        <f>JN!N152</f>
        <v>625.79</v>
      </c>
      <c r="H15" s="382">
        <f>JN!O152</f>
        <v>-448776</v>
      </c>
      <c r="I15" s="323">
        <f>JN!P152</f>
        <v>51854960</v>
      </c>
      <c r="J15" s="323">
        <f>JN!Q152</f>
        <v>380165</v>
      </c>
      <c r="K15" s="323">
        <f>JN!R152</f>
        <v>594902</v>
      </c>
      <c r="L15" s="323">
        <f>JN!S152</f>
        <v>0</v>
      </c>
      <c r="M15" s="323">
        <f>JN!T152</f>
        <v>0</v>
      </c>
      <c r="N15" s="323">
        <f>JN!U152</f>
        <v>52381251</v>
      </c>
      <c r="O15" s="323">
        <f>JN!V152</f>
        <v>448776</v>
      </c>
      <c r="P15" s="323">
        <f>JN!W152</f>
        <v>0</v>
      </c>
      <c r="Q15" s="323">
        <f>JN!X152</f>
        <v>0</v>
      </c>
      <c r="R15" s="323">
        <f>JN!Y152</f>
        <v>448776</v>
      </c>
      <c r="S15" s="323">
        <f>JN!Z152</f>
        <v>52830027</v>
      </c>
      <c r="T15" s="323">
        <f>JN!AA152</f>
        <v>17856549</v>
      </c>
      <c r="U15" s="323">
        <f>JN!AB152</f>
        <v>523814</v>
      </c>
      <c r="V15" s="323">
        <f>JN!AC152</f>
        <v>0</v>
      </c>
      <c r="W15" s="876">
        <f>JN!AD152</f>
        <v>71210390</v>
      </c>
      <c r="X15" s="880">
        <f>JN!AE152</f>
        <v>-0.32000000000000006</v>
      </c>
      <c r="Y15" s="324">
        <f>JN!AF152</f>
        <v>129.41000000000003</v>
      </c>
      <c r="Z15" s="324">
        <f>JN!AG152</f>
        <v>1.08</v>
      </c>
      <c r="AA15" s="324">
        <f>JN!AH152</f>
        <v>0.52</v>
      </c>
      <c r="AB15" s="324">
        <f>JN!AI152</f>
        <v>0</v>
      </c>
      <c r="AC15" s="324">
        <f>JN!AJ152</f>
        <v>0</v>
      </c>
      <c r="AD15" s="784">
        <f>JN!AK152</f>
        <v>130.69000000000003</v>
      </c>
      <c r="AE15" s="382">
        <f>JN!AL152</f>
        <v>638504982</v>
      </c>
      <c r="AF15" s="323">
        <f>JN!AM152</f>
        <v>473222931</v>
      </c>
      <c r="AG15" s="323">
        <f>JN!AN152</f>
        <v>448776</v>
      </c>
      <c r="AH15" s="323">
        <f>JN!AO152</f>
        <v>160101039</v>
      </c>
      <c r="AI15" s="323">
        <f>JN!AP152</f>
        <v>4732236</v>
      </c>
      <c r="AJ15" s="323">
        <f>JN!AQ152</f>
        <v>0</v>
      </c>
      <c r="AK15" s="784">
        <f>JN!AR152</f>
        <v>756.4799999999999</v>
      </c>
    </row>
    <row r="16" spans="1:37" x14ac:dyDescent="0.2">
      <c r="A16" s="860" t="s">
        <v>241</v>
      </c>
      <c r="B16" s="690">
        <f>TA!I80</f>
        <v>219814232</v>
      </c>
      <c r="C16" s="323">
        <f>TA!J80</f>
        <v>163066937</v>
      </c>
      <c r="D16" s="323">
        <f>TA!K80</f>
        <v>55116625</v>
      </c>
      <c r="E16" s="323">
        <f>TA!L80</f>
        <v>1630670</v>
      </c>
      <c r="F16" s="323">
        <f>TA!M80</f>
        <v>0</v>
      </c>
      <c r="G16" s="784">
        <f>TA!N80</f>
        <v>250.16</v>
      </c>
      <c r="H16" s="382">
        <f>TA!O80</f>
        <v>-491479</v>
      </c>
      <c r="I16" s="323">
        <f>TA!P80</f>
        <v>28200401</v>
      </c>
      <c r="J16" s="323">
        <f>TA!Q80</f>
        <v>68110</v>
      </c>
      <c r="K16" s="323">
        <f>TA!R80</f>
        <v>0</v>
      </c>
      <c r="L16" s="323">
        <f>TA!S80</f>
        <v>0</v>
      </c>
      <c r="M16" s="323">
        <f>TA!T80</f>
        <v>0</v>
      </c>
      <c r="N16" s="323">
        <f>TA!U80</f>
        <v>27777032</v>
      </c>
      <c r="O16" s="323">
        <f>TA!V80</f>
        <v>491479</v>
      </c>
      <c r="P16" s="323">
        <f>TA!W80</f>
        <v>224960</v>
      </c>
      <c r="Q16" s="323">
        <f>TA!X80</f>
        <v>0</v>
      </c>
      <c r="R16" s="323">
        <f>TA!Y80</f>
        <v>716439</v>
      </c>
      <c r="S16" s="323">
        <f>TA!Z80</f>
        <v>28493471</v>
      </c>
      <c r="T16" s="323">
        <f>TA!AA80</f>
        <v>9630794</v>
      </c>
      <c r="U16" s="323">
        <f>TA!AB80</f>
        <v>277770</v>
      </c>
      <c r="V16" s="323">
        <f>TA!AC80</f>
        <v>0</v>
      </c>
      <c r="W16" s="876">
        <f>TA!AD80</f>
        <v>38402035</v>
      </c>
      <c r="X16" s="880">
        <f>TA!AE80</f>
        <v>-0.36</v>
      </c>
      <c r="Y16" s="324">
        <f>TA!AF80</f>
        <v>70.360000000000014</v>
      </c>
      <c r="Z16" s="324">
        <f>TA!AG80</f>
        <v>0</v>
      </c>
      <c r="AA16" s="324">
        <f>TA!AH80</f>
        <v>0.1</v>
      </c>
      <c r="AB16" s="324">
        <f>TA!AI80</f>
        <v>0</v>
      </c>
      <c r="AC16" s="324">
        <f>TA!AJ80</f>
        <v>0</v>
      </c>
      <c r="AD16" s="784">
        <f>TA!AK80</f>
        <v>70.099999999999994</v>
      </c>
      <c r="AE16" s="382">
        <f>TA!AL80</f>
        <v>258216267</v>
      </c>
      <c r="AF16" s="323">
        <f>TA!AM80</f>
        <v>190843969</v>
      </c>
      <c r="AG16" s="323">
        <f>TA!AN80</f>
        <v>716439</v>
      </c>
      <c r="AH16" s="323">
        <f>TA!AO80</f>
        <v>64747419</v>
      </c>
      <c r="AI16" s="323">
        <f>TA!AP80</f>
        <v>1908440</v>
      </c>
      <c r="AJ16" s="323">
        <f>TA!AQ80</f>
        <v>0</v>
      </c>
      <c r="AK16" s="784">
        <f>TA!AR80</f>
        <v>320.25999999999993</v>
      </c>
    </row>
    <row r="17" spans="1:37" x14ac:dyDescent="0.2">
      <c r="A17" s="860" t="s">
        <v>242</v>
      </c>
      <c r="B17" s="690">
        <f>ŽB!I58</f>
        <v>127318046</v>
      </c>
      <c r="C17" s="323">
        <f>ŽB!J58</f>
        <v>94449589</v>
      </c>
      <c r="D17" s="323">
        <f>ŽB!K58</f>
        <v>31923961</v>
      </c>
      <c r="E17" s="323">
        <f>ŽB!L58</f>
        <v>944496</v>
      </c>
      <c r="F17" s="323">
        <f>ŽB!M58</f>
        <v>0</v>
      </c>
      <c r="G17" s="784">
        <f>ŽB!N58</f>
        <v>141.25</v>
      </c>
      <c r="H17" s="382">
        <f>ŽB!O58</f>
        <v>-324084</v>
      </c>
      <c r="I17" s="323">
        <f>ŽB!P58</f>
        <v>9766818</v>
      </c>
      <c r="J17" s="323">
        <f>ŽB!Q58</f>
        <v>80620</v>
      </c>
      <c r="K17" s="323">
        <f>ŽB!R58</f>
        <v>0</v>
      </c>
      <c r="L17" s="323">
        <f>ŽB!S58</f>
        <v>0</v>
      </c>
      <c r="M17" s="323">
        <f>ŽB!T58</f>
        <v>0</v>
      </c>
      <c r="N17" s="323">
        <f>ŽB!U58</f>
        <v>9523354</v>
      </c>
      <c r="O17" s="323">
        <f>ŽB!V58</f>
        <v>324084</v>
      </c>
      <c r="P17" s="323">
        <f>ŽB!W58</f>
        <v>0</v>
      </c>
      <c r="Q17" s="323">
        <f>ŽB!X58</f>
        <v>0</v>
      </c>
      <c r="R17" s="323">
        <f>ŽB!Y58</f>
        <v>324084</v>
      </c>
      <c r="S17" s="323">
        <f>ŽB!Z58</f>
        <v>9847438</v>
      </c>
      <c r="T17" s="323">
        <f>ŽB!AA58</f>
        <v>3328435</v>
      </c>
      <c r="U17" s="323">
        <f>ŽB!AB58</f>
        <v>95233</v>
      </c>
      <c r="V17" s="323">
        <f>ŽB!AC58</f>
        <v>0</v>
      </c>
      <c r="W17" s="876">
        <f>ŽB!AD58</f>
        <v>13271106</v>
      </c>
      <c r="X17" s="880">
        <f>ŽB!AE58</f>
        <v>-0.32000000000000006</v>
      </c>
      <c r="Y17" s="324">
        <f>ŽB!AF58</f>
        <v>24.38</v>
      </c>
      <c r="Z17" s="324">
        <f>ŽB!AG58</f>
        <v>0</v>
      </c>
      <c r="AA17" s="324">
        <f>ŽB!AH58</f>
        <v>0.11</v>
      </c>
      <c r="AB17" s="324">
        <f>ŽB!AI58</f>
        <v>0</v>
      </c>
      <c r="AC17" s="324">
        <f>ŽB!AJ58</f>
        <v>0</v>
      </c>
      <c r="AD17" s="784">
        <f>ŽB!AK58</f>
        <v>24.169999999999998</v>
      </c>
      <c r="AE17" s="382">
        <f>ŽB!AL58</f>
        <v>140589152</v>
      </c>
      <c r="AF17" s="323">
        <f>ŽB!AM58</f>
        <v>103972943</v>
      </c>
      <c r="AG17" s="323">
        <f>ŽB!AN58</f>
        <v>324084</v>
      </c>
      <c r="AH17" s="323">
        <f>ŽB!AO58</f>
        <v>35252396</v>
      </c>
      <c r="AI17" s="323">
        <f>ŽB!AP58</f>
        <v>1039729</v>
      </c>
      <c r="AJ17" s="323">
        <f>ŽB!AQ58</f>
        <v>0</v>
      </c>
      <c r="AK17" s="784">
        <f>ŽB!AR58</f>
        <v>165.42</v>
      </c>
    </row>
    <row r="18" spans="1:37" s="3" customFormat="1" x14ac:dyDescent="0.2">
      <c r="A18" s="860" t="s">
        <v>243</v>
      </c>
      <c r="B18" s="690">
        <f>ČL!I225</f>
        <v>879679496</v>
      </c>
      <c r="C18" s="323">
        <f>ČL!J225</f>
        <v>652581227</v>
      </c>
      <c r="D18" s="323">
        <f>ČL!K225</f>
        <v>220572456</v>
      </c>
      <c r="E18" s="323">
        <f>ČL!L225</f>
        <v>6525813</v>
      </c>
      <c r="F18" s="323">
        <f>ČL!M225</f>
        <v>0</v>
      </c>
      <c r="G18" s="784">
        <f>ČL!N225</f>
        <v>978.3900000000001</v>
      </c>
      <c r="H18" s="382">
        <f>ČL!O225</f>
        <v>-1403184</v>
      </c>
      <c r="I18" s="323">
        <f>ČL!P225</f>
        <v>68967733</v>
      </c>
      <c r="J18" s="323">
        <f>ČL!Q225</f>
        <v>911145</v>
      </c>
      <c r="K18" s="323">
        <f>ČL!R225</f>
        <v>952487</v>
      </c>
      <c r="L18" s="323">
        <f>ČL!S225</f>
        <v>0</v>
      </c>
      <c r="M18" s="323">
        <f>ČL!T225</f>
        <v>43933</v>
      </c>
      <c r="N18" s="323">
        <f>ČL!U225</f>
        <v>69472114</v>
      </c>
      <c r="O18" s="323">
        <f>ČL!V225</f>
        <v>1403184</v>
      </c>
      <c r="P18" s="323">
        <f>ČL!W225</f>
        <v>333600</v>
      </c>
      <c r="Q18" s="323">
        <f>ČL!X225</f>
        <v>0</v>
      </c>
      <c r="R18" s="323">
        <f>ČL!Y225</f>
        <v>1736784</v>
      </c>
      <c r="S18" s="323">
        <f>ČL!Z225</f>
        <v>71208898</v>
      </c>
      <c r="T18" s="323">
        <f>ČL!AA225</f>
        <v>24068604</v>
      </c>
      <c r="U18" s="323">
        <f>ČL!AB225</f>
        <v>694719</v>
      </c>
      <c r="V18" s="323">
        <f>ČL!AC225</f>
        <v>0</v>
      </c>
      <c r="W18" s="876">
        <f>ČL!AD225</f>
        <v>95972221</v>
      </c>
      <c r="X18" s="880">
        <f>ČL!AE225</f>
        <v>-2.1200000000000006</v>
      </c>
      <c r="Y18" s="324">
        <f>ČL!AF225</f>
        <v>175.98999999999998</v>
      </c>
      <c r="Z18" s="324">
        <f>ČL!AG225</f>
        <v>1.73</v>
      </c>
      <c r="AA18" s="324">
        <f>ČL!AH225</f>
        <v>1.2400000000000002</v>
      </c>
      <c r="AB18" s="324">
        <f>ČL!AI225</f>
        <v>0</v>
      </c>
      <c r="AC18" s="324">
        <f>ČL!AJ225</f>
        <v>0.09</v>
      </c>
      <c r="AD18" s="784">
        <f>ČL!AK225</f>
        <v>176.93</v>
      </c>
      <c r="AE18" s="382">
        <f>ČL!AL225</f>
        <v>975651717</v>
      </c>
      <c r="AF18" s="323">
        <f>ČL!AM225</f>
        <v>722053341</v>
      </c>
      <c r="AG18" s="323">
        <f>ČL!AN225</f>
        <v>1736784</v>
      </c>
      <c r="AH18" s="323">
        <f>ČL!AO225</f>
        <v>244641060</v>
      </c>
      <c r="AI18" s="323">
        <f>ČL!AP225</f>
        <v>7220532</v>
      </c>
      <c r="AJ18" s="323">
        <f>ČL!AQ225</f>
        <v>0</v>
      </c>
      <c r="AK18" s="784">
        <f>ČL!AR225</f>
        <v>1155.3200000000004</v>
      </c>
    </row>
    <row r="19" spans="1:37" x14ac:dyDescent="0.2">
      <c r="A19" s="860" t="s">
        <v>244</v>
      </c>
      <c r="B19" s="690">
        <f>NB!I97</f>
        <v>290633195</v>
      </c>
      <c r="C19" s="323">
        <f>NB!J97</f>
        <v>215603259</v>
      </c>
      <c r="D19" s="323">
        <f>NB!K97</f>
        <v>72873902</v>
      </c>
      <c r="E19" s="323">
        <f>NB!L97</f>
        <v>2156034</v>
      </c>
      <c r="F19" s="323">
        <f>NB!M97</f>
        <v>0</v>
      </c>
      <c r="G19" s="784">
        <f>NB!N97</f>
        <v>325.2731</v>
      </c>
      <c r="H19" s="382">
        <f>NB!O97</f>
        <v>-668520</v>
      </c>
      <c r="I19" s="323">
        <f>NB!P97</f>
        <v>19022553</v>
      </c>
      <c r="J19" s="323">
        <f>NB!Q97</f>
        <v>0</v>
      </c>
      <c r="K19" s="323">
        <f>NB!R97</f>
        <v>0</v>
      </c>
      <c r="L19" s="323">
        <f>NB!S97</f>
        <v>0</v>
      </c>
      <c r="M19" s="323">
        <f>NB!T97</f>
        <v>0</v>
      </c>
      <c r="N19" s="323">
        <f>NB!U97</f>
        <v>18354033</v>
      </c>
      <c r="O19" s="323">
        <f>NB!V97</f>
        <v>668520</v>
      </c>
      <c r="P19" s="323">
        <f>NB!W97</f>
        <v>500683</v>
      </c>
      <c r="Q19" s="323">
        <f>NB!X97</f>
        <v>0</v>
      </c>
      <c r="R19" s="323">
        <f>NB!Y97</f>
        <v>1169203</v>
      </c>
      <c r="S19" s="323">
        <f>NB!Z97</f>
        <v>19523236</v>
      </c>
      <c r="T19" s="323">
        <f>NB!AA97</f>
        <v>6598852</v>
      </c>
      <c r="U19" s="323">
        <f>NB!AB97</f>
        <v>183539</v>
      </c>
      <c r="V19" s="323">
        <f>NB!AC97</f>
        <v>0</v>
      </c>
      <c r="W19" s="876">
        <f>NB!AD97</f>
        <v>26305627</v>
      </c>
      <c r="X19" s="880">
        <f>NB!AE97</f>
        <v>-0.51</v>
      </c>
      <c r="Y19" s="324">
        <f>NB!AF97</f>
        <v>49.27</v>
      </c>
      <c r="Z19" s="324">
        <f>NB!AG97</f>
        <v>0</v>
      </c>
      <c r="AA19" s="324">
        <f>NB!AH97</f>
        <v>0</v>
      </c>
      <c r="AB19" s="324">
        <f>NB!AI97</f>
        <v>0</v>
      </c>
      <c r="AC19" s="324">
        <f>NB!AJ97</f>
        <v>0</v>
      </c>
      <c r="AD19" s="784">
        <f>NB!AK97</f>
        <v>48.760000000000005</v>
      </c>
      <c r="AE19" s="382">
        <f>NB!AL97</f>
        <v>316938822</v>
      </c>
      <c r="AF19" s="323">
        <f>NB!AM97</f>
        <v>233957292</v>
      </c>
      <c r="AG19" s="323">
        <f>NB!AN97</f>
        <v>1169203</v>
      </c>
      <c r="AH19" s="323">
        <f>NB!AO97</f>
        <v>79472754</v>
      </c>
      <c r="AI19" s="323">
        <f>NB!AP97</f>
        <v>2339573</v>
      </c>
      <c r="AJ19" s="323">
        <f>NB!AQ97</f>
        <v>0</v>
      </c>
      <c r="AK19" s="784">
        <f>NB!AR97</f>
        <v>374.03310000000005</v>
      </c>
    </row>
    <row r="20" spans="1:37" x14ac:dyDescent="0.2">
      <c r="A20" s="860" t="s">
        <v>245</v>
      </c>
      <c r="B20" s="690">
        <f>SM!I130</f>
        <v>315683921</v>
      </c>
      <c r="C20" s="323">
        <f>SM!J130</f>
        <v>234186884</v>
      </c>
      <c r="D20" s="323">
        <f>SM!K130</f>
        <v>79155169</v>
      </c>
      <c r="E20" s="323">
        <f>SM!L130</f>
        <v>2341868</v>
      </c>
      <c r="F20" s="323">
        <f>SM!M130</f>
        <v>0</v>
      </c>
      <c r="G20" s="784">
        <f>SM!N130</f>
        <v>348.74899999999997</v>
      </c>
      <c r="H20" s="382">
        <f>SM!O130</f>
        <v>-742200</v>
      </c>
      <c r="I20" s="323">
        <f>SM!P130</f>
        <v>21658084</v>
      </c>
      <c r="J20" s="323">
        <f>SM!Q130</f>
        <v>27105</v>
      </c>
      <c r="K20" s="323">
        <f>SM!R130</f>
        <v>330504</v>
      </c>
      <c r="L20" s="323">
        <f>SM!S130</f>
        <v>0</v>
      </c>
      <c r="M20" s="323">
        <f>SM!T130</f>
        <v>0</v>
      </c>
      <c r="N20" s="323">
        <f>SM!U130</f>
        <v>21273493</v>
      </c>
      <c r="O20" s="323">
        <f>SM!V130</f>
        <v>742200</v>
      </c>
      <c r="P20" s="323">
        <f>SM!W130</f>
        <v>407533</v>
      </c>
      <c r="Q20" s="323">
        <f>SM!X130</f>
        <v>0</v>
      </c>
      <c r="R20" s="323">
        <f>SM!Y130</f>
        <v>1149733</v>
      </c>
      <c r="S20" s="323">
        <f>SM!Z130</f>
        <v>22423226</v>
      </c>
      <c r="T20" s="323">
        <f>SM!AA130</f>
        <v>7579051</v>
      </c>
      <c r="U20" s="323">
        <f>SM!AB130</f>
        <v>212734</v>
      </c>
      <c r="V20" s="323">
        <f>SM!AC130</f>
        <v>0</v>
      </c>
      <c r="W20" s="876">
        <f>SM!AD130</f>
        <v>30215011</v>
      </c>
      <c r="X20" s="880">
        <f>SM!AE130</f>
        <v>-0.71000000000000019</v>
      </c>
      <c r="Y20" s="324">
        <f>SM!AF130</f>
        <v>52.95</v>
      </c>
      <c r="Z20" s="324">
        <f>SM!AG130</f>
        <v>0.6</v>
      </c>
      <c r="AA20" s="324">
        <f>SM!AH130</f>
        <v>0.04</v>
      </c>
      <c r="AB20" s="324">
        <f>SM!AI130</f>
        <v>0</v>
      </c>
      <c r="AC20" s="324">
        <f>SM!AJ130</f>
        <v>0</v>
      </c>
      <c r="AD20" s="784">
        <f>SM!AK130</f>
        <v>52.879999999999988</v>
      </c>
      <c r="AE20" s="382">
        <f>SM!AL130</f>
        <v>345898932</v>
      </c>
      <c r="AF20" s="323">
        <f>SM!AM130</f>
        <v>255460377</v>
      </c>
      <c r="AG20" s="323">
        <f>SM!AN130</f>
        <v>1149733</v>
      </c>
      <c r="AH20" s="323">
        <f>SM!AO130</f>
        <v>86734220</v>
      </c>
      <c r="AI20" s="323">
        <f>SM!AP130</f>
        <v>2554602</v>
      </c>
      <c r="AJ20" s="323">
        <f>SM!AQ130</f>
        <v>0</v>
      </c>
      <c r="AK20" s="784">
        <f>SM!AR130</f>
        <v>401.62900000000002</v>
      </c>
    </row>
    <row r="21" spans="1:37" s="3" customFormat="1" x14ac:dyDescent="0.2">
      <c r="A21" s="860" t="s">
        <v>246</v>
      </c>
      <c r="B21" s="690">
        <f>JI!I108</f>
        <v>249823573</v>
      </c>
      <c r="C21" s="323">
        <f>JI!J108</f>
        <v>185329059</v>
      </c>
      <c r="D21" s="323">
        <f>JI!K108</f>
        <v>62641224</v>
      </c>
      <c r="E21" s="323">
        <f>JI!L108</f>
        <v>1853290</v>
      </c>
      <c r="F21" s="323">
        <f>JI!M108</f>
        <v>0</v>
      </c>
      <c r="G21" s="784">
        <f>JI!N108</f>
        <v>284.36409999999995</v>
      </c>
      <c r="H21" s="382">
        <f>JI!O108</f>
        <v>-314100</v>
      </c>
      <c r="I21" s="323">
        <f>JI!P108</f>
        <v>15656062</v>
      </c>
      <c r="J21" s="323">
        <f>JI!Q108</f>
        <v>59770</v>
      </c>
      <c r="K21" s="323">
        <f>JI!R108</f>
        <v>0</v>
      </c>
      <c r="L21" s="323">
        <f>JI!S108</f>
        <v>0</v>
      </c>
      <c r="M21" s="323">
        <f>JI!T108</f>
        <v>0</v>
      </c>
      <c r="N21" s="323">
        <f>JI!U108</f>
        <v>15401732</v>
      </c>
      <c r="O21" s="323">
        <f>JI!V108</f>
        <v>314100</v>
      </c>
      <c r="P21" s="323">
        <f>JI!W108</f>
        <v>0</v>
      </c>
      <c r="Q21" s="323">
        <f>JI!X108</f>
        <v>0</v>
      </c>
      <c r="R21" s="323">
        <f>JI!Y108</f>
        <v>314100</v>
      </c>
      <c r="S21" s="323">
        <f>JI!Z108</f>
        <v>15715832</v>
      </c>
      <c r="T21" s="323">
        <f>JI!AA108</f>
        <v>5311951</v>
      </c>
      <c r="U21" s="323">
        <f>JI!AB108</f>
        <v>154017</v>
      </c>
      <c r="V21" s="323">
        <f>JI!AC108</f>
        <v>0</v>
      </c>
      <c r="W21" s="876">
        <f>JI!AD108</f>
        <v>21181800</v>
      </c>
      <c r="X21" s="880">
        <f>JI!AE108</f>
        <v>-0.23</v>
      </c>
      <c r="Y21" s="324">
        <f>JI!AF108</f>
        <v>38.020000000000003</v>
      </c>
      <c r="Z21" s="324">
        <f>JI!AG108</f>
        <v>0</v>
      </c>
      <c r="AA21" s="324">
        <f>JI!AH108</f>
        <v>0.09</v>
      </c>
      <c r="AB21" s="324">
        <f>JI!AI108</f>
        <v>0</v>
      </c>
      <c r="AC21" s="324">
        <f>JI!AJ108</f>
        <v>0</v>
      </c>
      <c r="AD21" s="784">
        <f>JI!AK108</f>
        <v>37.879999999999995</v>
      </c>
      <c r="AE21" s="382">
        <f>JI!AL108</f>
        <v>271005373</v>
      </c>
      <c r="AF21" s="323">
        <f>JI!AM108</f>
        <v>200730791</v>
      </c>
      <c r="AG21" s="323">
        <f>JI!AN108</f>
        <v>314100</v>
      </c>
      <c r="AH21" s="323">
        <f>JI!AO108</f>
        <v>67953175</v>
      </c>
      <c r="AI21" s="323">
        <f>JI!AP108</f>
        <v>2007307</v>
      </c>
      <c r="AJ21" s="323">
        <f>JI!AQ108</f>
        <v>0</v>
      </c>
      <c r="AK21" s="784">
        <f>JI!AR108</f>
        <v>322.2441</v>
      </c>
    </row>
    <row r="22" spans="1:37" ht="13.5" thickBot="1" x14ac:dyDescent="0.25">
      <c r="A22" s="861" t="s">
        <v>247</v>
      </c>
      <c r="B22" s="691">
        <f>TU!I152</f>
        <v>421163795</v>
      </c>
      <c r="C22" s="865">
        <f>TU!J152</f>
        <v>312436052</v>
      </c>
      <c r="D22" s="865">
        <f>TU!K152</f>
        <v>105603384</v>
      </c>
      <c r="E22" s="865">
        <f>TU!L152</f>
        <v>3124359</v>
      </c>
      <c r="F22" s="865">
        <f>TU!M152</f>
        <v>0</v>
      </c>
      <c r="G22" s="871">
        <f>TU!N152</f>
        <v>473.43319999999994</v>
      </c>
      <c r="H22" s="619">
        <f>TU!O152</f>
        <v>-535320</v>
      </c>
      <c r="I22" s="865">
        <f>TU!P152</f>
        <v>24196861</v>
      </c>
      <c r="J22" s="865">
        <f>TU!Q152</f>
        <v>197380</v>
      </c>
      <c r="K22" s="865">
        <f>TU!R152</f>
        <v>-748860</v>
      </c>
      <c r="L22" s="865">
        <f>TU!S152</f>
        <v>0</v>
      </c>
      <c r="M22" s="865">
        <f>TU!T152</f>
        <v>0</v>
      </c>
      <c r="N22" s="865">
        <f>TU!U152</f>
        <v>23110061</v>
      </c>
      <c r="O22" s="865">
        <f>TU!V152</f>
        <v>535320</v>
      </c>
      <c r="P22" s="865">
        <f>TU!W152</f>
        <v>133904</v>
      </c>
      <c r="Q22" s="865">
        <f>TU!X152</f>
        <v>0</v>
      </c>
      <c r="R22" s="865">
        <f>TU!Y152</f>
        <v>669224</v>
      </c>
      <c r="S22" s="865">
        <f>TU!Z152</f>
        <v>23779285</v>
      </c>
      <c r="T22" s="865">
        <f>TU!AA152</f>
        <v>8037396</v>
      </c>
      <c r="U22" s="865">
        <f>TU!AB152</f>
        <v>231098</v>
      </c>
      <c r="V22" s="865">
        <f>TU!AC152</f>
        <v>0</v>
      </c>
      <c r="W22" s="877">
        <f>TU!AD152</f>
        <v>32047779</v>
      </c>
      <c r="X22" s="881">
        <f>TU!AE152</f>
        <v>-0.36000000000000004</v>
      </c>
      <c r="Y22" s="869">
        <f>TU!AF152</f>
        <v>60.47</v>
      </c>
      <c r="Z22" s="869">
        <f>TU!AG152</f>
        <v>-1</v>
      </c>
      <c r="AA22" s="869">
        <f>TU!AH152</f>
        <v>0.30000000000000004</v>
      </c>
      <c r="AB22" s="869">
        <f>TU!AI152</f>
        <v>0</v>
      </c>
      <c r="AC22" s="869">
        <f>TU!AJ152</f>
        <v>0</v>
      </c>
      <c r="AD22" s="871">
        <f>TU!AK152</f>
        <v>59.41</v>
      </c>
      <c r="AE22" s="619">
        <f>TU!AL152</f>
        <v>453211574</v>
      </c>
      <c r="AF22" s="865">
        <f>TU!AM152</f>
        <v>335546113</v>
      </c>
      <c r="AG22" s="865">
        <f>TU!AN152</f>
        <v>669224</v>
      </c>
      <c r="AH22" s="865">
        <f>TU!AO152</f>
        <v>113640780</v>
      </c>
      <c r="AI22" s="865">
        <f>TU!AP152</f>
        <v>3355457</v>
      </c>
      <c r="AJ22" s="865">
        <f>TU!AQ152</f>
        <v>0</v>
      </c>
      <c r="AK22" s="871">
        <f>TU!AR152</f>
        <v>532.84320000000002</v>
      </c>
    </row>
    <row r="23" spans="1:37" s="3" customFormat="1" ht="13.5" thickBot="1" x14ac:dyDescent="0.25">
      <c r="A23" s="862" t="s">
        <v>248</v>
      </c>
      <c r="B23" s="614">
        <f>SUM(B13:B22)</f>
        <v>4977896298</v>
      </c>
      <c r="C23" s="615">
        <f t="shared" ref="C23:G23" si="0">SUM(C13:C22)</f>
        <v>3692801397</v>
      </c>
      <c r="D23" s="615">
        <f t="shared" si="0"/>
        <v>1248166877</v>
      </c>
      <c r="E23" s="615">
        <f t="shared" si="0"/>
        <v>36928024</v>
      </c>
      <c r="F23" s="615">
        <f t="shared" si="0"/>
        <v>0</v>
      </c>
      <c r="G23" s="618">
        <f t="shared" si="0"/>
        <v>5538.9639000000006</v>
      </c>
      <c r="H23" s="617">
        <f t="shared" ref="H23:AK23" si="1">SUM(H13:H22)</f>
        <v>-9073123</v>
      </c>
      <c r="I23" s="615">
        <f t="shared" si="1"/>
        <v>381894245</v>
      </c>
      <c r="J23" s="615">
        <f t="shared" si="1"/>
        <v>3070510</v>
      </c>
      <c r="K23" s="615">
        <f t="shared" si="1"/>
        <v>2483694</v>
      </c>
      <c r="L23" s="615">
        <f t="shared" si="1"/>
        <v>0</v>
      </c>
      <c r="M23" s="615">
        <f t="shared" si="1"/>
        <v>53696</v>
      </c>
      <c r="N23" s="615">
        <f t="shared" si="1"/>
        <v>378429022</v>
      </c>
      <c r="O23" s="615">
        <f t="shared" si="1"/>
        <v>9073123</v>
      </c>
      <c r="P23" s="615">
        <f t="shared" si="1"/>
        <v>2351201</v>
      </c>
      <c r="Q23" s="615">
        <f t="shared" si="1"/>
        <v>0</v>
      </c>
      <c r="R23" s="615">
        <f t="shared" si="1"/>
        <v>11424324</v>
      </c>
      <c r="S23" s="615">
        <f t="shared" si="1"/>
        <v>389853346</v>
      </c>
      <c r="T23" s="615">
        <f t="shared" si="1"/>
        <v>131770420</v>
      </c>
      <c r="U23" s="615">
        <f t="shared" si="1"/>
        <v>3784278</v>
      </c>
      <c r="V23" s="615">
        <f t="shared" si="1"/>
        <v>0</v>
      </c>
      <c r="W23" s="878">
        <f t="shared" si="1"/>
        <v>525408044</v>
      </c>
      <c r="X23" s="882">
        <f t="shared" si="1"/>
        <v>-9.23</v>
      </c>
      <c r="Y23" s="616">
        <f>SUM(Y13:Y22)</f>
        <v>957.31000000000006</v>
      </c>
      <c r="Z23" s="616">
        <f t="shared" si="1"/>
        <v>4.74</v>
      </c>
      <c r="AA23" s="616">
        <f t="shared" si="1"/>
        <v>4.3500000000000005</v>
      </c>
      <c r="AB23" s="616">
        <f t="shared" si="1"/>
        <v>0</v>
      </c>
      <c r="AC23" s="616">
        <f t="shared" si="1"/>
        <v>0.09</v>
      </c>
      <c r="AD23" s="618">
        <f t="shared" si="1"/>
        <v>957.2600000000001</v>
      </c>
      <c r="AE23" s="617">
        <f t="shared" si="1"/>
        <v>5503304342</v>
      </c>
      <c r="AF23" s="615">
        <f t="shared" si="1"/>
        <v>4071230419</v>
      </c>
      <c r="AG23" s="615">
        <f t="shared" si="1"/>
        <v>11424324</v>
      </c>
      <c r="AH23" s="615">
        <f t="shared" si="1"/>
        <v>1379937297</v>
      </c>
      <c r="AI23" s="615">
        <f t="shared" si="1"/>
        <v>40712302</v>
      </c>
      <c r="AJ23" s="615">
        <f t="shared" si="1"/>
        <v>0</v>
      </c>
      <c r="AK23" s="618">
        <f t="shared" si="1"/>
        <v>6496.2239000000009</v>
      </c>
    </row>
    <row r="24" spans="1:37" x14ac:dyDescent="0.2">
      <c r="A24" s="17" t="s">
        <v>249</v>
      </c>
      <c r="B24" s="328">
        <f>SUM(C23:F23)</f>
        <v>4977896298</v>
      </c>
      <c r="C24" s="328"/>
      <c r="D24" s="328"/>
      <c r="E24" s="328"/>
      <c r="F24" s="328"/>
      <c r="G24" s="329"/>
      <c r="H24" s="328">
        <f>O23</f>
        <v>9073123</v>
      </c>
      <c r="I24" s="329"/>
      <c r="J24" s="329"/>
      <c r="K24" s="329"/>
      <c r="L24" s="328"/>
      <c r="M24" s="329"/>
      <c r="N24" s="330">
        <f>SUM(H23:M23)</f>
        <v>378429022</v>
      </c>
      <c r="O24" s="330">
        <f>H23</f>
        <v>-9073123</v>
      </c>
      <c r="P24" s="331"/>
      <c r="Q24" s="331"/>
      <c r="R24" s="330">
        <f>SUM(O23:Q23)</f>
        <v>11424324</v>
      </c>
      <c r="S24" s="330">
        <f>N23+R23</f>
        <v>389853346</v>
      </c>
      <c r="T24" s="332"/>
      <c r="U24" s="332"/>
      <c r="V24" s="330"/>
      <c r="W24" s="330">
        <f>SUM(S23:V23)</f>
        <v>525408044</v>
      </c>
      <c r="X24" s="333"/>
      <c r="Y24" s="333"/>
      <c r="Z24" s="333"/>
      <c r="AA24" s="333"/>
      <c r="AB24" s="381"/>
      <c r="AC24" s="333"/>
      <c r="AD24" s="381">
        <f>SUM(X23:AC23)</f>
        <v>957.2600000000001</v>
      </c>
      <c r="AE24" s="328">
        <f>SUM(AF23:AJ23)</f>
        <v>5503304342</v>
      </c>
      <c r="AF24" s="328"/>
      <c r="AG24" s="58"/>
      <c r="AH24" s="330"/>
      <c r="AI24" s="330"/>
      <c r="AJ24" s="330"/>
      <c r="AK24" s="329"/>
    </row>
    <row r="25" spans="1:37" ht="13.5" thickBot="1" x14ac:dyDescent="0.25">
      <c r="A25" s="17"/>
      <c r="B25" s="328">
        <f>SUM(C26:F26)</f>
        <v>4977896298</v>
      </c>
      <c r="C25" s="328"/>
      <c r="D25" s="328"/>
      <c r="E25" s="328"/>
      <c r="F25" s="328"/>
      <c r="G25" s="329"/>
      <c r="H25" s="328">
        <f>O26</f>
        <v>9073123</v>
      </c>
      <c r="I25" s="329"/>
      <c r="J25" s="329"/>
      <c r="K25" s="329"/>
      <c r="L25" s="328"/>
      <c r="M25" s="329"/>
      <c r="N25" s="330">
        <f>SUM(H26:M26)</f>
        <v>378429022</v>
      </c>
      <c r="O25" s="330"/>
      <c r="P25" s="331"/>
      <c r="Q25" s="331"/>
      <c r="R25" s="330">
        <f>SUM(O26:Q26)</f>
        <v>11424324</v>
      </c>
      <c r="S25" s="330">
        <f>N26+R26</f>
        <v>389853346</v>
      </c>
      <c r="T25" s="332"/>
      <c r="U25" s="332"/>
      <c r="V25" s="330"/>
      <c r="W25" s="330">
        <f>SUM(S26:V26)</f>
        <v>525408044</v>
      </c>
      <c r="X25" s="333"/>
      <c r="Y25" s="333"/>
      <c r="Z25" s="333"/>
      <c r="AA25" s="333"/>
      <c r="AB25" s="381"/>
      <c r="AC25" s="333"/>
      <c r="AD25" s="381">
        <f>SUM(X26:AC26)</f>
        <v>957.26000000000033</v>
      </c>
      <c r="AE25" s="328">
        <f>AF26+AG26+AH26+AI26</f>
        <v>5503304342</v>
      </c>
      <c r="AF25" s="328"/>
      <c r="AG25" s="58"/>
      <c r="AH25" s="48"/>
      <c r="AI25" s="48"/>
      <c r="AJ25" s="48"/>
      <c r="AK25" s="329"/>
    </row>
    <row r="26" spans="1:37" ht="13.5" thickBot="1" x14ac:dyDescent="0.25">
      <c r="A26" s="19" t="s">
        <v>0</v>
      </c>
      <c r="B26" s="96">
        <f>SUM(B27:B36)</f>
        <v>4977896298</v>
      </c>
      <c r="C26" s="31">
        <f t="shared" ref="C26:G26" si="2">SUM(C27:C36)</f>
        <v>3692801397</v>
      </c>
      <c r="D26" s="31">
        <f t="shared" si="2"/>
        <v>1248166877</v>
      </c>
      <c r="E26" s="31">
        <f t="shared" si="2"/>
        <v>36928024</v>
      </c>
      <c r="F26" s="31">
        <f t="shared" si="2"/>
        <v>0</v>
      </c>
      <c r="G26" s="647">
        <f t="shared" si="2"/>
        <v>5538.9638999999997</v>
      </c>
      <c r="H26" s="101">
        <f t="shared" ref="H26:AK26" si="3">SUM(H27:H36)</f>
        <v>-9073123</v>
      </c>
      <c r="I26" s="31">
        <f t="shared" si="3"/>
        <v>381894245</v>
      </c>
      <c r="J26" s="31">
        <f t="shared" si="3"/>
        <v>3070510</v>
      </c>
      <c r="K26" s="31">
        <f t="shared" si="3"/>
        <v>2483694</v>
      </c>
      <c r="L26" s="31">
        <f t="shared" si="3"/>
        <v>0</v>
      </c>
      <c r="M26" s="642">
        <f t="shared" si="3"/>
        <v>53696</v>
      </c>
      <c r="N26" s="96">
        <f t="shared" si="3"/>
        <v>378429022</v>
      </c>
      <c r="O26" s="31">
        <f t="shared" si="3"/>
        <v>9073123</v>
      </c>
      <c r="P26" s="31">
        <f t="shared" si="3"/>
        <v>2351201</v>
      </c>
      <c r="Q26" s="31">
        <f t="shared" si="3"/>
        <v>0</v>
      </c>
      <c r="R26" s="31">
        <f t="shared" si="3"/>
        <v>11424324</v>
      </c>
      <c r="S26" s="31">
        <f t="shared" si="3"/>
        <v>389853346</v>
      </c>
      <c r="T26" s="31">
        <f t="shared" si="3"/>
        <v>131770420</v>
      </c>
      <c r="U26" s="31">
        <f t="shared" si="3"/>
        <v>3784278</v>
      </c>
      <c r="V26" s="31">
        <f t="shared" si="3"/>
        <v>0</v>
      </c>
      <c r="W26" s="642">
        <f t="shared" si="3"/>
        <v>525408044</v>
      </c>
      <c r="X26" s="646">
        <f t="shared" si="3"/>
        <v>-9.23</v>
      </c>
      <c r="Y26" s="32">
        <f t="shared" si="3"/>
        <v>957.31000000000029</v>
      </c>
      <c r="Z26" s="32">
        <f t="shared" si="3"/>
        <v>4.74</v>
      </c>
      <c r="AA26" s="32">
        <f t="shared" si="3"/>
        <v>4.3500000000000005</v>
      </c>
      <c r="AB26" s="32">
        <f t="shared" si="3"/>
        <v>0</v>
      </c>
      <c r="AC26" s="32">
        <f t="shared" si="3"/>
        <v>0.09</v>
      </c>
      <c r="AD26" s="647">
        <f t="shared" si="3"/>
        <v>957.25999999999988</v>
      </c>
      <c r="AE26" s="101">
        <f t="shared" si="3"/>
        <v>5503304342</v>
      </c>
      <c r="AF26" s="31">
        <f t="shared" si="3"/>
        <v>4071230419</v>
      </c>
      <c r="AG26" s="31">
        <f t="shared" si="3"/>
        <v>11424324</v>
      </c>
      <c r="AH26" s="31">
        <f t="shared" si="3"/>
        <v>1379937297</v>
      </c>
      <c r="AI26" s="31">
        <f t="shared" si="3"/>
        <v>40712302</v>
      </c>
      <c r="AJ26" s="31">
        <f t="shared" si="3"/>
        <v>0</v>
      </c>
      <c r="AK26" s="647">
        <f t="shared" si="3"/>
        <v>6496.2239</v>
      </c>
    </row>
    <row r="27" spans="1:37" x14ac:dyDescent="0.2">
      <c r="A27" s="1">
        <v>3111</v>
      </c>
      <c r="B27" s="370">
        <f>'LB '!I370+FR!I107+JN!I156+TA!I84+ŽB!I62+ČL!I229+NB!I101+SM!I134+JI!I112+TU!I156</f>
        <v>1146770979</v>
      </c>
      <c r="C27" s="371">
        <f>'LB '!J370+FR!J107+JN!J156+TA!J84+ŽB!J62+ČL!J229+NB!J101+SM!J134+JI!J112+TU!J156</f>
        <v>850720309</v>
      </c>
      <c r="D27" s="371">
        <f>'LB '!K370+FR!K107+JN!K156+TA!K84+ŽB!K62+ČL!K229+NB!K101+SM!K134+JI!K112+TU!K156</f>
        <v>287543461</v>
      </c>
      <c r="E27" s="371">
        <f>'LB '!L370+FR!L107+JN!L156+TA!L84+ŽB!L62+ČL!L229+NB!L101+SM!L134+JI!L112+TU!L156</f>
        <v>8507209</v>
      </c>
      <c r="F27" s="371">
        <f>'LB '!M370+FR!M107+JN!M156+TA!M84+ŽB!M62+ČL!M229+NB!M101+SM!M134+JI!M112+TU!M156</f>
        <v>0</v>
      </c>
      <c r="G27" s="649">
        <f>'LB '!N370+FR!N107+JN!N156+TA!N84+ŽB!N62+ČL!N229+NB!N101+SM!N134+JI!N112+TU!N156</f>
        <v>1428.6415999999999</v>
      </c>
      <c r="H27" s="372">
        <f>'LB '!O370+FR!O107+JN!O156+TA!O84+ŽB!O62+ČL!O229+NB!O101+SM!O134+JI!O112+TU!O156</f>
        <v>-1235796</v>
      </c>
      <c r="I27" s="371">
        <f>'LB '!P370+FR!P107+JN!P156+TA!P84+ŽB!P62+ČL!P229+NB!P101+SM!P134+JI!P112+TU!P156</f>
        <v>59719562</v>
      </c>
      <c r="J27" s="371">
        <f>'LB '!Q370+FR!Q107+JN!Q156+TA!Q84+ŽB!Q62+ČL!Q229+NB!Q101+SM!Q134+JI!Q112+TU!Q156</f>
        <v>0</v>
      </c>
      <c r="K27" s="371">
        <f>'LB '!R370+FR!R107+JN!R156+TA!R84+ŽB!R62+ČL!R229+NB!R101+SM!R134+JI!R112+TU!R156</f>
        <v>0</v>
      </c>
      <c r="L27" s="371">
        <f>'LB '!S370+FR!S107+JN!S156+TA!S84+ŽB!S62+ČL!S229+NB!S101+SM!S134+JI!S112+TU!S156</f>
        <v>0</v>
      </c>
      <c r="M27" s="371">
        <f>'LB '!T370+FR!T107+JN!T156+TA!T84+ŽB!T62+ČL!T229+NB!T101+SM!T134+JI!T112+TU!T156</f>
        <v>0</v>
      </c>
      <c r="N27" s="371">
        <f>'LB '!U370+FR!U107+JN!U156+TA!U84+ŽB!U62+ČL!U229+NB!U101+SM!U134+JI!U112+TU!U156</f>
        <v>58483766</v>
      </c>
      <c r="O27" s="371">
        <f>'LB '!V370+FR!V107+JN!V156+TA!V84+ŽB!V62+ČL!V229+NB!V101+SM!V134+JI!V112+TU!V156</f>
        <v>1235796</v>
      </c>
      <c r="P27" s="371">
        <f>'LB '!W370+FR!W107+JN!W156+TA!W84+ŽB!W62+ČL!W229+NB!W101+SM!W134+JI!W112+TU!W156</f>
        <v>0</v>
      </c>
      <c r="Q27" s="371">
        <f>'LB '!X370+FR!X107+JN!X156+TA!X84+ŽB!X62+ČL!X229+NB!X101+SM!X134+JI!X112+TU!X156</f>
        <v>0</v>
      </c>
      <c r="R27" s="371">
        <f>'LB '!Y370+FR!Y107+JN!Y156+TA!Y84+ŽB!Y62+ČL!Y229+NB!Y101+SM!Y134+JI!Y112+TU!Y156</f>
        <v>1235796</v>
      </c>
      <c r="S27" s="371">
        <f>'LB '!Z370+FR!Z107+JN!Z156+TA!Z84+ŽB!Z62+ČL!Z229+NB!Z101+SM!Z134+JI!Z112+TU!Z156</f>
        <v>59719562</v>
      </c>
      <c r="T27" s="371">
        <f>'LB '!AA370+FR!AA107+JN!AA156+TA!AA84+ŽB!AA62+ČL!AA229+NB!AA101+SM!AA134+JI!AA112+TU!AA156</f>
        <v>20185209</v>
      </c>
      <c r="U27" s="371">
        <f>'LB '!AB370+FR!AB107+JN!AB156+TA!AB84+ŽB!AB62+ČL!AB229+NB!AB101+SM!AB134+JI!AB112+TU!AB156</f>
        <v>584829</v>
      </c>
      <c r="V27" s="371">
        <f>'LB '!AC370+FR!AC107+JN!AC156+TA!AC84+ŽB!AC62+ČL!AC229+NB!AC101+SM!AC134+JI!AC112+TU!AC156</f>
        <v>0</v>
      </c>
      <c r="W27" s="643">
        <f>'LB '!AD370+FR!AD107+JN!AD156+TA!AD84+ŽB!AD62+ČL!AD229+NB!AD101+SM!AD134+JI!AD112+TU!AD156</f>
        <v>80489600</v>
      </c>
      <c r="X27" s="648">
        <f>'LB '!AE370+FR!AE107+JN!AE156+TA!AE84+ŽB!AE62+ČL!AE229+NB!AE101+SM!AE134+JI!AE112+TU!AE156</f>
        <v>-0.66000000000000014</v>
      </c>
      <c r="Y27" s="373">
        <f>'LB '!AF370+FR!AF107+JN!AF156+TA!AF84+ŽB!AF62+ČL!AF229+NB!AF101+SM!AF134+JI!AF112+TU!AF156</f>
        <v>153.69000000000003</v>
      </c>
      <c r="Z27" s="373">
        <f>'LB '!AG370+FR!AG107+JN!AG156+TA!AG84+ŽB!AG62+ČL!AG229+NB!AG101+SM!AG134+JI!AG112+TU!AG156</f>
        <v>0</v>
      </c>
      <c r="AA27" s="373">
        <f>'LB '!AH370+FR!AH107+JN!AH156+TA!AH84+ŽB!AH62+ČL!AH229+NB!AH101+SM!AH134+JI!AH112+TU!AH156</f>
        <v>0</v>
      </c>
      <c r="AB27" s="373">
        <f>'LB '!AI370+FR!AI107+JN!AI156+TA!AI84+ŽB!AI62+ČL!AI229+NB!AI101+SM!AI134+JI!AI112+TU!AI156</f>
        <v>0</v>
      </c>
      <c r="AC27" s="373">
        <f>'LB '!AJ370+FR!AJ107+JN!AJ156+TA!AJ84+ŽB!AJ62+ČL!AJ229+NB!AJ101+SM!AJ134+JI!AJ112+TU!AJ156</f>
        <v>0</v>
      </c>
      <c r="AD27" s="649">
        <f>'LB '!AK370+FR!AK107+JN!AK156+TA!AK84+ŽB!AK62+ČL!AK229+NB!AK101+SM!AK134+JI!AK112+TU!AK156</f>
        <v>153.03</v>
      </c>
      <c r="AE27" s="372">
        <f>'LB '!AL370+FR!AL107+JN!AL156+TA!AL84+ŽB!AL62+ČL!AL229+NB!AL101+SM!AL134+JI!AL112+TU!AL156</f>
        <v>1227260579</v>
      </c>
      <c r="AF27" s="371">
        <f>'LB '!AM370+FR!AM107+JN!AM156+TA!AM84+ŽB!AM62+ČL!AM229+NB!AM101+SM!AM134+JI!AM112+TU!AM156</f>
        <v>909204075</v>
      </c>
      <c r="AG27" s="371">
        <f>'LB '!AN370+FR!AN107+JN!AN156+TA!AN84+ŽB!AN62+ČL!AN229+NB!AN101+SM!AN134+JI!AN112+TU!AN156</f>
        <v>1235796</v>
      </c>
      <c r="AH27" s="371">
        <f>'LB '!AO370+FR!AO107+JN!AO156+TA!AO84+ŽB!AO62+ČL!AO229+NB!AO101+SM!AO134+JI!AO112+TU!AO156</f>
        <v>307728670</v>
      </c>
      <c r="AI27" s="371">
        <f>'LB '!AP370+FR!AP107+JN!AP156+TA!AP84+ŽB!AP62+ČL!AP229+NB!AP101+SM!AP134+JI!AP112+TU!AP156</f>
        <v>9092038</v>
      </c>
      <c r="AJ27" s="371">
        <f>'LB '!AQ370+FR!AQ107+JN!AQ156+TA!AQ84+ŽB!AQ62+ČL!AQ229+NB!AQ101+SM!AQ134+JI!AQ112+TU!AQ156</f>
        <v>0</v>
      </c>
      <c r="AK27" s="649">
        <f>'LB '!AR370+FR!AR107+JN!AR156+TA!AR84+ŽB!AR62+ČL!AR229+NB!AR101+SM!AR134+JI!AR112+TU!AR156</f>
        <v>1581.6716000000001</v>
      </c>
    </row>
    <row r="28" spans="1:37" x14ac:dyDescent="0.2">
      <c r="A28" s="2">
        <v>3113</v>
      </c>
      <c r="B28" s="119">
        <f>'LB '!I371+FR!I108+JN!I157+TA!I85+ŽB!I63+ČL!I230+NB!I102+SM!I135+JI!I113+TU!I157</f>
        <v>2651819562</v>
      </c>
      <c r="C28" s="14">
        <f>'LB '!J371+FR!J108+JN!J157+TA!J85+ŽB!J63+ČL!J230+NB!J102+SM!J135+JI!J113+TU!J157</f>
        <v>1967225194</v>
      </c>
      <c r="D28" s="14">
        <f>'LB '!K371+FR!K108+JN!K157+TA!K85+ŽB!K63+ČL!K230+NB!K102+SM!K135+JI!K113+TU!K157</f>
        <v>664922112</v>
      </c>
      <c r="E28" s="14">
        <f>'LB '!L371+FR!L108+JN!L157+TA!L85+ŽB!L63+ČL!L230+NB!L102+SM!L135+JI!L113+TU!L157</f>
        <v>19672256</v>
      </c>
      <c r="F28" s="14">
        <f>'LB '!M371+FR!M108+JN!M157+TA!M85+ŽB!M63+ČL!M230+NB!M102+SM!M135+JI!M113+TU!M157</f>
        <v>0</v>
      </c>
      <c r="G28" s="651">
        <f>'LB '!N371+FR!N108+JN!N157+TA!N85+ŽB!N63+ČL!N230+NB!N102+SM!N135+JI!N113+TU!N157</f>
        <v>2694.7475999999997</v>
      </c>
      <c r="H28" s="120">
        <f>'LB '!O371+FR!O108+JN!O157+TA!O85+ŽB!O63+ČL!O230+NB!O102+SM!O135+JI!O113+TU!O157</f>
        <v>-4053664</v>
      </c>
      <c r="I28" s="14">
        <f>'LB '!P371+FR!P108+JN!P157+TA!P85+ŽB!P63+ČL!P230+NB!P102+SM!P135+JI!P113+TU!P157</f>
        <v>277373178</v>
      </c>
      <c r="J28" s="14">
        <f>'LB '!Q371+FR!Q108+JN!Q157+TA!Q85+ŽB!Q63+ČL!Q230+NB!Q102+SM!Q135+JI!Q113+TU!Q157</f>
        <v>3070510</v>
      </c>
      <c r="K28" s="14">
        <f>'LB '!R371+FR!R108+JN!R157+TA!R85+ŽB!R63+ČL!R230+NB!R102+SM!R135+JI!R113+TU!R157</f>
        <v>2483694</v>
      </c>
      <c r="L28" s="14">
        <f>'LB '!S371+FR!S108+JN!S157+TA!S85+ŽB!S63+ČL!S230+NB!S102+SM!S135+JI!S113+TU!S157</f>
        <v>0</v>
      </c>
      <c r="M28" s="14">
        <f>'LB '!T371+FR!T108+JN!T157+TA!T85+ŽB!T63+ČL!T230+NB!T102+SM!T135+JI!T113+TU!T157</f>
        <v>0</v>
      </c>
      <c r="N28" s="14">
        <f>'LB '!U371+FR!U108+JN!U157+TA!U85+ŽB!U63+ČL!U230+NB!U102+SM!U135+JI!U113+TU!U157</f>
        <v>278873718</v>
      </c>
      <c r="O28" s="14">
        <f>'LB '!V371+FR!V108+JN!V157+TA!V85+ŽB!V63+ČL!V230+NB!V102+SM!V135+JI!V113+TU!V157</f>
        <v>4053664</v>
      </c>
      <c r="P28" s="14">
        <f>'LB '!W371+FR!W108+JN!W157+TA!W85+ŽB!W63+ČL!W230+NB!W102+SM!W135+JI!W113+TU!W157</f>
        <v>1733443</v>
      </c>
      <c r="Q28" s="14">
        <f>'LB '!X371+FR!X108+JN!X157+TA!X85+ŽB!X63+ČL!X230+NB!X102+SM!X135+JI!X113+TU!X157</f>
        <v>0</v>
      </c>
      <c r="R28" s="14">
        <f>'LB '!Y371+FR!Y108+JN!Y157+TA!Y85+ŽB!Y63+ČL!Y230+NB!Y102+SM!Y135+JI!Y113+TU!Y157</f>
        <v>5787107</v>
      </c>
      <c r="S28" s="14">
        <f>'LB '!Z371+FR!Z108+JN!Z157+TA!Z85+ŽB!Z63+ČL!Z230+NB!Z102+SM!Z135+JI!Z113+TU!Z157</f>
        <v>284660825</v>
      </c>
      <c r="T28" s="14">
        <f>'LB '!AA371+FR!AA108+JN!AA157+TA!AA85+ŽB!AA63+ČL!AA230+NB!AA102+SM!AA135+JI!AA113+TU!AA157</f>
        <v>96215353</v>
      </c>
      <c r="U28" s="14">
        <f>'LB '!AB371+FR!AB108+JN!AB157+TA!AB85+ŽB!AB63+ČL!AB230+NB!AB102+SM!AB135+JI!AB113+TU!AB157</f>
        <v>2788737</v>
      </c>
      <c r="V28" s="14">
        <f>'LB '!AC371+FR!AC108+JN!AC157+TA!AC85+ŽB!AC63+ČL!AC230+NB!AC102+SM!AC135+JI!AC113+TU!AC157</f>
        <v>0</v>
      </c>
      <c r="W28" s="644">
        <f>'LB '!AD371+FR!AD108+JN!AD157+TA!AD85+ŽB!AD63+ČL!AD230+NB!AD102+SM!AD135+JI!AD113+TU!AD157</f>
        <v>383664915</v>
      </c>
      <c r="X28" s="650">
        <f>'LB '!AE371+FR!AE108+JN!AE157+TA!AE85+ŽB!AE63+ČL!AE230+NB!AE102+SM!AE135+JI!AE113+TU!AE157</f>
        <v>-4.07</v>
      </c>
      <c r="Y28" s="11">
        <f>'LB '!AF371+FR!AF108+JN!AF157+TA!AF85+ŽB!AF63+ČL!AF230+NB!AF102+SM!AF135+JI!AF113+TU!AF157</f>
        <v>690.94000000000017</v>
      </c>
      <c r="Z28" s="11">
        <f>'LB '!AG371+FR!AG108+JN!AG157+TA!AG85+ŽB!AG63+ČL!AG230+NB!AG102+SM!AG135+JI!AG113+TU!AG157</f>
        <v>4.74</v>
      </c>
      <c r="AA28" s="11">
        <f>'LB '!AH371+FR!AH108+JN!AH157+TA!AH85+ŽB!AH63+ČL!AH230+NB!AH102+SM!AH135+JI!AH113+TU!AH157</f>
        <v>4.3500000000000005</v>
      </c>
      <c r="AB28" s="11">
        <f>'LB '!AI371+FR!AI108+JN!AI157+TA!AI85+ŽB!AI63+ČL!AI230+NB!AI102+SM!AI135+JI!AI113+TU!AI157</f>
        <v>0</v>
      </c>
      <c r="AC28" s="11">
        <f>'LB '!AJ371+FR!AJ108+JN!AJ157+TA!AJ85+ŽB!AJ63+ČL!AJ230+NB!AJ102+SM!AJ135+JI!AJ113+TU!AJ157</f>
        <v>0</v>
      </c>
      <c r="AD28" s="651">
        <f>'LB '!AK371+FR!AK108+JN!AK157+TA!AK85+ŽB!AK63+ČL!AK230+NB!AK102+SM!AK135+JI!AK113+TU!AK157</f>
        <v>695.95999999999992</v>
      </c>
      <c r="AE28" s="120">
        <f>'LB '!AL371+FR!AL108+JN!AL157+TA!AL85+ŽB!AL63+ČL!AL230+NB!AL102+SM!AL135+JI!AL113+TU!AL157</f>
        <v>3035484477</v>
      </c>
      <c r="AF28" s="14">
        <f>'LB '!AM371+FR!AM108+JN!AM157+TA!AM85+ŽB!AM63+ČL!AM230+NB!AM102+SM!AM135+JI!AM113+TU!AM157</f>
        <v>2246098912</v>
      </c>
      <c r="AG28" s="14">
        <f>'LB '!AN371+FR!AN108+JN!AN157+TA!AN85+ŽB!AN63+ČL!AN230+NB!AN102+SM!AN135+JI!AN113+TU!AN157</f>
        <v>5787107</v>
      </c>
      <c r="AH28" s="14">
        <f>'LB '!AO371+FR!AO108+JN!AO157+TA!AO85+ŽB!AO63+ČL!AO230+NB!AO102+SM!AO135+JI!AO113+TU!AO157</f>
        <v>761137465</v>
      </c>
      <c r="AI28" s="14">
        <f>'LB '!AP371+FR!AP108+JN!AP157+TA!AP85+ŽB!AP63+ČL!AP230+NB!AP102+SM!AP135+JI!AP113+TU!AP157</f>
        <v>22460993</v>
      </c>
      <c r="AJ28" s="14">
        <f>'LB '!AQ371+FR!AQ108+JN!AQ157+TA!AQ85+ŽB!AQ63+ČL!AQ230+NB!AQ102+SM!AQ135+JI!AQ113+TU!AQ157</f>
        <v>0</v>
      </c>
      <c r="AK28" s="651">
        <f>'LB '!AR371+FR!AR108+JN!AR157+TA!AR85+ŽB!AR63+ČL!AR230+NB!AR102+SM!AR135+JI!AR113+TU!AR157</f>
        <v>3390.7076000000002</v>
      </c>
    </row>
    <row r="29" spans="1:37" x14ac:dyDescent="0.2">
      <c r="A29" s="2">
        <v>3114</v>
      </c>
      <c r="B29" s="119">
        <f>'LB '!I372+FR!I109+JN!I158+TA!I86+ŽB!I64+ČL!I231+NB!I103+SM!I136+JI!I114+TU!I158</f>
        <v>184055418</v>
      </c>
      <c r="C29" s="14">
        <f>'LB '!J372+FR!J109+JN!J158+TA!J86+ŽB!J64+ČL!J231+NB!J103+SM!J136+JI!J114+TU!J158</f>
        <v>136539627</v>
      </c>
      <c r="D29" s="14">
        <f>'LB '!K372+FR!K109+JN!K158+TA!K86+ŽB!K64+ČL!K231+NB!K103+SM!K136+JI!K114+TU!K158</f>
        <v>46150395</v>
      </c>
      <c r="E29" s="14">
        <f>'LB '!L372+FR!L109+JN!L158+TA!L86+ŽB!L64+ČL!L231+NB!L103+SM!L136+JI!L114+TU!L158</f>
        <v>1365396</v>
      </c>
      <c r="F29" s="14">
        <f>'LB '!M372+FR!M109+JN!M158+TA!M86+ŽB!M64+ČL!M231+NB!M103+SM!M136+JI!M114+TU!M158</f>
        <v>0</v>
      </c>
      <c r="G29" s="651">
        <f>'LB '!N372+FR!N109+JN!N158+TA!N86+ŽB!N64+ČL!N231+NB!N103+SM!N136+JI!N114+TU!N158</f>
        <v>206.38749999999999</v>
      </c>
      <c r="H29" s="120">
        <f>'LB '!O372+FR!O109+JN!O158+TA!O86+ŽB!O64+ČL!O231+NB!O103+SM!O136+JI!O114+TU!O158</f>
        <v>-90000</v>
      </c>
      <c r="I29" s="14">
        <f>'LB '!P372+FR!P109+JN!P158+TA!P86+ŽB!P64+ČL!P231+NB!P103+SM!P136+JI!P114+TU!P158</f>
        <v>2557940</v>
      </c>
      <c r="J29" s="14">
        <f>'LB '!Q372+FR!Q109+JN!Q158+TA!Q86+ŽB!Q64+ČL!Q231+NB!Q103+SM!Q136+JI!Q114+TU!Q158</f>
        <v>0</v>
      </c>
      <c r="K29" s="14">
        <f>'LB '!R372+FR!R109+JN!R158+TA!R86+ŽB!R64+ČL!R231+NB!R103+SM!R136+JI!R114+TU!R158</f>
        <v>0</v>
      </c>
      <c r="L29" s="14">
        <f>'LB '!S372+FR!S109+JN!S158+TA!S86+ŽB!S64+ČL!S231+NB!S103+SM!S136+JI!S114+TU!S158</f>
        <v>0</v>
      </c>
      <c r="M29" s="14">
        <f>'LB '!T372+FR!T109+JN!T158+TA!T86+ŽB!T64+ČL!T231+NB!T103+SM!T136+JI!T114+TU!T158</f>
        <v>53696</v>
      </c>
      <c r="N29" s="14">
        <f>'LB '!U372+FR!U109+JN!U158+TA!U86+ŽB!U64+ČL!U231+NB!U103+SM!U136+JI!U114+TU!U158</f>
        <v>2521636</v>
      </c>
      <c r="O29" s="14">
        <f>'LB '!V372+FR!V109+JN!V158+TA!V86+ŽB!V64+ČL!V231+NB!V103+SM!V136+JI!V114+TU!V158</f>
        <v>90000</v>
      </c>
      <c r="P29" s="14">
        <f>'LB '!W372+FR!W109+JN!W158+TA!W86+ŽB!W64+ČL!W231+NB!W103+SM!W136+JI!W114+TU!W158</f>
        <v>0</v>
      </c>
      <c r="Q29" s="14">
        <f>'LB '!X372+FR!X109+JN!X158+TA!X86+ŽB!X64+ČL!X231+NB!X103+SM!X136+JI!X114+TU!X158</f>
        <v>0</v>
      </c>
      <c r="R29" s="14">
        <f>'LB '!Y372+FR!Y109+JN!Y158+TA!Y86+ŽB!Y64+ČL!Y231+NB!Y103+SM!Y136+JI!Y114+TU!Y158</f>
        <v>90000</v>
      </c>
      <c r="S29" s="14">
        <f>'LB '!Z372+FR!Z109+JN!Z158+TA!Z86+ŽB!Z64+ČL!Z231+NB!Z103+SM!Z136+JI!Z114+TU!Z158</f>
        <v>2611636</v>
      </c>
      <c r="T29" s="14">
        <f>'LB '!AA372+FR!AA109+JN!AA158+TA!AA86+ŽB!AA64+ČL!AA231+NB!AA103+SM!AA136+JI!AA114+TU!AA158</f>
        <v>882732</v>
      </c>
      <c r="U29" s="14">
        <f>'LB '!AB372+FR!AB109+JN!AB158+TA!AB86+ŽB!AB64+ČL!AB231+NB!AB103+SM!AB136+JI!AB114+TU!AB158</f>
        <v>25216</v>
      </c>
      <c r="V29" s="14">
        <f>'LB '!AC372+FR!AC109+JN!AC158+TA!AC86+ŽB!AC64+ČL!AC231+NB!AC103+SM!AC136+JI!AC114+TU!AC158</f>
        <v>0</v>
      </c>
      <c r="W29" s="644">
        <f>'LB '!AD372+FR!AD109+JN!AD158+TA!AD86+ŽB!AD64+ČL!AD231+NB!AD103+SM!AD136+JI!AD114+TU!AD158</f>
        <v>3519584</v>
      </c>
      <c r="X29" s="650">
        <f>'LB '!AE372+FR!AE109+JN!AE158+TA!AE86+ŽB!AE64+ČL!AE231+NB!AE103+SM!AE136+JI!AE114+TU!AE158</f>
        <v>-6.0000000000000005E-2</v>
      </c>
      <c r="Y29" s="11">
        <f>'LB '!AF372+FR!AF109+JN!AF158+TA!AF86+ŽB!AF64+ČL!AF231+NB!AF103+SM!AF136+JI!AF114+TU!AF158</f>
        <v>6.21</v>
      </c>
      <c r="Z29" s="11">
        <f>'LB '!AG372+FR!AG109+JN!AG158+TA!AG86+ŽB!AG64+ČL!AG231+NB!AG103+SM!AG136+JI!AG114+TU!AG158</f>
        <v>0</v>
      </c>
      <c r="AA29" s="11">
        <f>'LB '!AH372+FR!AH109+JN!AH158+TA!AH86+ŽB!AH64+ČL!AH231+NB!AH103+SM!AH136+JI!AH114+TU!AH158</f>
        <v>0</v>
      </c>
      <c r="AB29" s="11">
        <f>'LB '!AI372+FR!AI109+JN!AI158+TA!AI86+ŽB!AI64+ČL!AI231+NB!AI103+SM!AI136+JI!AI114+TU!AI158</f>
        <v>0</v>
      </c>
      <c r="AC29" s="11">
        <f>'LB '!AJ372+FR!AJ109+JN!AJ158+TA!AJ86+ŽB!AJ64+ČL!AJ231+NB!AJ103+SM!AJ136+JI!AJ114+TU!AJ158</f>
        <v>0.09</v>
      </c>
      <c r="AD29" s="651">
        <f>'LB '!AK372+FR!AK109+JN!AK158+TA!AK86+ŽB!AK64+ČL!AK231+NB!AK103+SM!AK136+JI!AK114+TU!AK158</f>
        <v>6.24</v>
      </c>
      <c r="AE29" s="120">
        <f>'LB '!AL372+FR!AL109+JN!AL158+TA!AL86+ŽB!AL64+ČL!AL231+NB!AL103+SM!AL136+JI!AL114+TU!AL158</f>
        <v>187575002</v>
      </c>
      <c r="AF29" s="14">
        <f>'LB '!AM372+FR!AM109+JN!AM158+TA!AM86+ŽB!AM64+ČL!AM231+NB!AM103+SM!AM136+JI!AM114+TU!AM158</f>
        <v>139061263</v>
      </c>
      <c r="AG29" s="14">
        <f>'LB '!AN372+FR!AN109+JN!AN158+TA!AN86+ŽB!AN64+ČL!AN231+NB!AN103+SM!AN136+JI!AN114+TU!AN158</f>
        <v>90000</v>
      </c>
      <c r="AH29" s="14">
        <f>'LB '!AO372+FR!AO109+JN!AO158+TA!AO86+ŽB!AO64+ČL!AO231+NB!AO103+SM!AO136+JI!AO114+TU!AO158</f>
        <v>47033127</v>
      </c>
      <c r="AI29" s="14">
        <f>'LB '!AP372+FR!AP109+JN!AP158+TA!AP86+ŽB!AP64+ČL!AP231+NB!AP103+SM!AP136+JI!AP114+TU!AP158</f>
        <v>1390612</v>
      </c>
      <c r="AJ29" s="14">
        <f>'LB '!AQ372+FR!AQ109+JN!AQ158+TA!AQ86+ŽB!AQ64+ČL!AQ231+NB!AQ103+SM!AQ136+JI!AQ114+TU!AQ158</f>
        <v>0</v>
      </c>
      <c r="AK29" s="651">
        <f>'LB '!AR372+FR!AR109+JN!AR158+TA!AR86+ŽB!AR64+ČL!AR231+NB!AR103+SM!AR136+JI!AR114+TU!AR158</f>
        <v>212.6275</v>
      </c>
    </row>
    <row r="30" spans="1:37" x14ac:dyDescent="0.2">
      <c r="A30" s="2">
        <v>3117</v>
      </c>
      <c r="B30" s="119">
        <f>'LB '!I373+FR!I110+JN!I159+TA!I87+ŽB!I65+ČL!I232+NB!I104+SM!I137+JI!I115+TU!I159</f>
        <v>245522811</v>
      </c>
      <c r="C30" s="14">
        <f>'LB '!J373+FR!J110+JN!J159+TA!J87+ŽB!J65+ČL!J232+NB!J104+SM!J137+JI!J115+TU!J159</f>
        <v>182138585</v>
      </c>
      <c r="D30" s="14">
        <f>'LB '!K373+FR!K110+JN!K159+TA!K87+ŽB!K65+ČL!K232+NB!K104+SM!K137+JI!K115+TU!K159</f>
        <v>61562838</v>
      </c>
      <c r="E30" s="14">
        <f>'LB '!L373+FR!L110+JN!L159+TA!L87+ŽB!L65+ČL!L232+NB!L104+SM!L137+JI!L115+TU!L159</f>
        <v>1821388</v>
      </c>
      <c r="F30" s="14">
        <f>'LB '!M373+FR!M110+JN!M159+TA!M87+ŽB!M65+ČL!M232+NB!M104+SM!M137+JI!M115+TU!M159</f>
        <v>0</v>
      </c>
      <c r="G30" s="651">
        <f>'LB '!N373+FR!N110+JN!N159+TA!N87+ŽB!N65+ČL!N232+NB!N104+SM!N137+JI!N115+TU!N159</f>
        <v>268.93119999999999</v>
      </c>
      <c r="H30" s="120">
        <f>'LB '!O373+FR!O110+JN!O159+TA!O87+ŽB!O65+ČL!O232+NB!O104+SM!O137+JI!O115+TU!O159</f>
        <v>-669503</v>
      </c>
      <c r="I30" s="14">
        <f>'LB '!P373+FR!P110+JN!P159+TA!P87+ŽB!P65+ČL!P232+NB!P104+SM!P137+JI!P115+TU!P159</f>
        <v>42243565</v>
      </c>
      <c r="J30" s="14">
        <f>'LB '!Q373+FR!Q110+JN!Q159+TA!Q87+ŽB!Q65+ČL!Q232+NB!Q104+SM!Q137+JI!Q115+TU!Q159</f>
        <v>0</v>
      </c>
      <c r="K30" s="14">
        <f>'LB '!R373+FR!R110+JN!R159+TA!R87+ŽB!R65+ČL!R232+NB!R104+SM!R137+JI!R115+TU!R159</f>
        <v>0</v>
      </c>
      <c r="L30" s="14">
        <f>'LB '!S373+FR!S110+JN!S159+TA!S87+ŽB!S65+ČL!S232+NB!S104+SM!S137+JI!S115+TU!S159</f>
        <v>0</v>
      </c>
      <c r="M30" s="14">
        <f>'LB '!T373+FR!T110+JN!T159+TA!T87+ŽB!T65+ČL!T232+NB!T104+SM!T137+JI!T115+TU!T159</f>
        <v>0</v>
      </c>
      <c r="N30" s="14">
        <f>'LB '!U373+FR!U110+JN!U159+TA!U87+ŽB!U65+ČL!U232+NB!U104+SM!U137+JI!U115+TU!U159</f>
        <v>41574062</v>
      </c>
      <c r="O30" s="14">
        <f>'LB '!V373+FR!V110+JN!V159+TA!V87+ŽB!V65+ČL!V232+NB!V104+SM!V137+JI!V115+TU!V159</f>
        <v>669503</v>
      </c>
      <c r="P30" s="14">
        <f>'LB '!W373+FR!W110+JN!W159+TA!W87+ŽB!W65+ČL!W232+NB!W104+SM!W137+JI!W115+TU!W159</f>
        <v>247129</v>
      </c>
      <c r="Q30" s="14">
        <f>'LB '!X373+FR!X110+JN!X159+TA!X87+ŽB!X65+ČL!X232+NB!X104+SM!X137+JI!X115+TU!X159</f>
        <v>0</v>
      </c>
      <c r="R30" s="14">
        <f>'LB '!Y373+FR!Y110+JN!Y159+TA!Y87+ŽB!Y65+ČL!Y232+NB!Y104+SM!Y137+JI!Y115+TU!Y159</f>
        <v>916632</v>
      </c>
      <c r="S30" s="14">
        <f>'LB '!Z373+FR!Z110+JN!Z159+TA!Z87+ŽB!Z65+ČL!Z232+NB!Z104+SM!Z137+JI!Z115+TU!Z159</f>
        <v>42490694</v>
      </c>
      <c r="T30" s="14">
        <f>'LB '!AA373+FR!AA110+JN!AA159+TA!AA87+ŽB!AA65+ČL!AA232+NB!AA104+SM!AA137+JI!AA115+TU!AA159</f>
        <v>14361853</v>
      </c>
      <c r="U30" s="14">
        <f>'LB '!AB373+FR!AB110+JN!AB159+TA!AB87+ŽB!AB65+ČL!AB232+NB!AB104+SM!AB137+JI!AB115+TU!AB159</f>
        <v>415738</v>
      </c>
      <c r="V30" s="14">
        <f>'LB '!AC373+FR!AC110+JN!AC159+TA!AC87+ŽB!AC65+ČL!AC232+NB!AC104+SM!AC137+JI!AC115+TU!AC159</f>
        <v>0</v>
      </c>
      <c r="W30" s="644">
        <f>'LB '!AD373+FR!AD110+JN!AD159+TA!AD87+ŽB!AD65+ČL!AD232+NB!AD104+SM!AD137+JI!AD115+TU!AD159</f>
        <v>57268285</v>
      </c>
      <c r="X30" s="650">
        <f>'LB '!AE373+FR!AE110+JN!AE159+TA!AE87+ŽB!AE65+ČL!AE232+NB!AE104+SM!AE137+JI!AE115+TU!AE159</f>
        <v>-0.57000000000000006</v>
      </c>
      <c r="Y30" s="11">
        <f>'LB '!AF373+FR!AF110+JN!AF159+TA!AF87+ŽB!AF65+ČL!AF232+NB!AF104+SM!AF137+JI!AF115+TU!AF159</f>
        <v>106.47</v>
      </c>
      <c r="Z30" s="11">
        <f>'LB '!AG373+FR!AG110+JN!AG159+TA!AG87+ŽB!AG65+ČL!AG232+NB!AG104+SM!AG137+JI!AG115+TU!AG159</f>
        <v>0</v>
      </c>
      <c r="AA30" s="11">
        <f>'LB '!AH373+FR!AH110+JN!AH159+TA!AH87+ŽB!AH65+ČL!AH232+NB!AH104+SM!AH137+JI!AH115+TU!AH159</f>
        <v>0</v>
      </c>
      <c r="AB30" s="11">
        <f>'LB '!AI373+FR!AI110+JN!AI159+TA!AI87+ŽB!AI65+ČL!AI232+NB!AI104+SM!AI137+JI!AI115+TU!AI159</f>
        <v>0</v>
      </c>
      <c r="AC30" s="11">
        <f>'LB '!AJ373+FR!AJ110+JN!AJ159+TA!AJ87+ŽB!AJ65+ČL!AJ232+NB!AJ104+SM!AJ137+JI!AJ115+TU!AJ159</f>
        <v>0</v>
      </c>
      <c r="AD30" s="651">
        <f>'LB '!AK373+FR!AK110+JN!AK159+TA!AK87+ŽB!AK65+ČL!AK232+NB!AK104+SM!AK137+JI!AK115+TU!AK159</f>
        <v>105.9</v>
      </c>
      <c r="AE30" s="120">
        <f>'LB '!AL373+FR!AL110+JN!AL159+TA!AL87+ŽB!AL65+ČL!AL232+NB!AL104+SM!AL137+JI!AL115+TU!AL159</f>
        <v>302791096</v>
      </c>
      <c r="AF30" s="14">
        <f>'LB '!AM373+FR!AM110+JN!AM159+TA!AM87+ŽB!AM65+ČL!AM232+NB!AM104+SM!AM137+JI!AM115+TU!AM159</f>
        <v>223712647</v>
      </c>
      <c r="AG30" s="14">
        <f>'LB '!AN373+FR!AN110+JN!AN159+TA!AN87+ŽB!AN65+ČL!AN232+NB!AN104+SM!AN137+JI!AN115+TU!AN159</f>
        <v>916632</v>
      </c>
      <c r="AH30" s="14">
        <f>'LB '!AO373+FR!AO110+JN!AO159+TA!AO87+ŽB!AO65+ČL!AO232+NB!AO104+SM!AO137+JI!AO115+TU!AO159</f>
        <v>75924691</v>
      </c>
      <c r="AI30" s="14">
        <f>'LB '!AP373+FR!AP110+JN!AP159+TA!AP87+ŽB!AP65+ČL!AP232+NB!AP104+SM!AP137+JI!AP115+TU!AP159</f>
        <v>2237126</v>
      </c>
      <c r="AJ30" s="14">
        <f>'LB '!AQ373+FR!AQ110+JN!AQ159+TA!AQ87+ŽB!AQ65+ČL!AQ232+NB!AQ104+SM!AQ137+JI!AQ115+TU!AQ159</f>
        <v>0</v>
      </c>
      <c r="AK30" s="651">
        <f>'LB '!AR373+FR!AR110+JN!AR159+TA!AR87+ŽB!AR65+ČL!AR232+NB!AR104+SM!AR137+JI!AR115+TU!AR159</f>
        <v>374.83120000000002</v>
      </c>
    </row>
    <row r="31" spans="1:37" x14ac:dyDescent="0.2">
      <c r="A31" s="2">
        <v>3122</v>
      </c>
      <c r="B31" s="119">
        <f>'LB '!I374+FR!I111+JN!I160+TA!I88+ŽB!I66+ČL!I233+NB!I105+SM!I138+JI!I116+TU!I160</f>
        <v>9707838</v>
      </c>
      <c r="C31" s="14">
        <f>'LB '!J374+FR!J111+JN!J160+TA!J88+ŽB!J66+ČL!J233+NB!J105+SM!J138+JI!J116+TU!J160</f>
        <v>7201660</v>
      </c>
      <c r="D31" s="14">
        <f>'LB '!K374+FR!K111+JN!K160+TA!K88+ŽB!K66+ČL!K233+NB!K105+SM!K138+JI!K116+TU!K160</f>
        <v>2434161</v>
      </c>
      <c r="E31" s="14">
        <f>'LB '!L374+FR!L111+JN!L160+TA!L88+ŽB!L66+ČL!L233+NB!L105+SM!L138+JI!L116+TU!L160</f>
        <v>72017</v>
      </c>
      <c r="F31" s="14">
        <f>'LB '!M374+FR!M111+JN!M160+TA!M88+ŽB!M66+ČL!M233+NB!M105+SM!M138+JI!M116+TU!M160</f>
        <v>0</v>
      </c>
      <c r="G31" s="651">
        <f>'LB '!N374+FR!N111+JN!N160+TA!N88+ŽB!N66+ČL!N233+NB!N105+SM!N138+JI!N116+TU!N160</f>
        <v>9.3332999999999995</v>
      </c>
      <c r="H31" s="120">
        <f>'LB '!O374+FR!O111+JN!O160+TA!O88+ŽB!O66+ČL!O233+NB!O105+SM!O138+JI!O116+TU!O160</f>
        <v>-54000</v>
      </c>
      <c r="I31" s="14">
        <f>'LB '!P374+FR!P111+JN!P160+TA!P88+ŽB!P66+ČL!P233+NB!P105+SM!P138+JI!P116+TU!P160</f>
        <v>0</v>
      </c>
      <c r="J31" s="14">
        <f>'LB '!Q374+FR!Q111+JN!Q160+TA!Q88+ŽB!Q66+ČL!Q233+NB!Q105+SM!Q138+JI!Q116+TU!Q160</f>
        <v>0</v>
      </c>
      <c r="K31" s="14">
        <f>'LB '!R374+FR!R111+JN!R160+TA!R88+ŽB!R66+ČL!R233+NB!R105+SM!R138+JI!R116+TU!R160</f>
        <v>0</v>
      </c>
      <c r="L31" s="14">
        <f>'LB '!S374+FR!S111+JN!S160+TA!S88+ŽB!S66+ČL!S233+NB!S105+SM!S138+JI!S116+TU!S160</f>
        <v>0</v>
      </c>
      <c r="M31" s="14">
        <f>'LB '!T374+FR!T111+JN!T160+TA!T88+ŽB!T66+ČL!T233+NB!T105+SM!T138+JI!T116+TU!T160</f>
        <v>0</v>
      </c>
      <c r="N31" s="14">
        <f>'LB '!U374+FR!U111+JN!U160+TA!U88+ŽB!U66+ČL!U233+NB!U105+SM!U138+JI!U116+TU!U160</f>
        <v>-54000</v>
      </c>
      <c r="O31" s="14">
        <f>'LB '!V374+FR!V111+JN!V160+TA!V88+ŽB!V66+ČL!V233+NB!V105+SM!V138+JI!V116+TU!V160</f>
        <v>54000</v>
      </c>
      <c r="P31" s="14">
        <f>'LB '!W374+FR!W111+JN!W160+TA!W88+ŽB!W66+ČL!W233+NB!W105+SM!W138+JI!W116+TU!W160</f>
        <v>302739</v>
      </c>
      <c r="Q31" s="14">
        <f>'LB '!X374+FR!X111+JN!X160+TA!X88+ŽB!X66+ČL!X233+NB!X105+SM!X138+JI!X116+TU!X160</f>
        <v>0</v>
      </c>
      <c r="R31" s="14">
        <f>'LB '!Y374+FR!Y111+JN!Y160+TA!Y88+ŽB!Y66+ČL!Y233+NB!Y105+SM!Y138+JI!Y116+TU!Y160</f>
        <v>356739</v>
      </c>
      <c r="S31" s="14">
        <f>'LB '!Z374+FR!Z111+JN!Z160+TA!Z88+ŽB!Z66+ČL!Z233+NB!Z105+SM!Z138+JI!Z116+TU!Z160</f>
        <v>302739</v>
      </c>
      <c r="T31" s="14">
        <f>'LB '!AA374+FR!AA111+JN!AA160+TA!AA88+ŽB!AA66+ČL!AA233+NB!AA105+SM!AA138+JI!AA116+TU!AA160</f>
        <v>102326</v>
      </c>
      <c r="U31" s="14">
        <f>'LB '!AB374+FR!AB111+JN!AB160+TA!AB88+ŽB!AB66+ČL!AB233+NB!AB105+SM!AB138+JI!AB116+TU!AB160</f>
        <v>-540</v>
      </c>
      <c r="V31" s="14">
        <f>'LB '!AC374+FR!AC111+JN!AC160+TA!AC88+ŽB!AC66+ČL!AC233+NB!AC105+SM!AC138+JI!AC116+TU!AC160</f>
        <v>0</v>
      </c>
      <c r="W31" s="644">
        <f>'LB '!AD374+FR!AD111+JN!AD160+TA!AD88+ŽB!AD66+ČL!AD233+NB!AD105+SM!AD138+JI!AD116+TU!AD160</f>
        <v>404525</v>
      </c>
      <c r="X31" s="650">
        <f>'LB '!AE374+FR!AE111+JN!AE160+TA!AE88+ŽB!AE66+ČL!AE233+NB!AE105+SM!AE138+JI!AE116+TU!AE160</f>
        <v>-0.03</v>
      </c>
      <c r="Y31" s="11">
        <f>'LB '!AF374+FR!AF111+JN!AF160+TA!AF88+ŽB!AF66+ČL!AF233+NB!AF105+SM!AF138+JI!AF116+TU!AF160</f>
        <v>0</v>
      </c>
      <c r="Z31" s="11">
        <f>'LB '!AG374+FR!AG111+JN!AG160+TA!AG88+ŽB!AG66+ČL!AG233+NB!AG105+SM!AG138+JI!AG116+TU!AG160</f>
        <v>0</v>
      </c>
      <c r="AA31" s="11">
        <f>'LB '!AH374+FR!AH111+JN!AH160+TA!AH88+ŽB!AH66+ČL!AH233+NB!AH105+SM!AH138+JI!AH116+TU!AH160</f>
        <v>0</v>
      </c>
      <c r="AB31" s="11">
        <f>'LB '!AI374+FR!AI111+JN!AI160+TA!AI88+ŽB!AI66+ČL!AI233+NB!AI105+SM!AI138+JI!AI116+TU!AI160</f>
        <v>0</v>
      </c>
      <c r="AC31" s="11">
        <f>'LB '!AJ374+FR!AJ111+JN!AJ160+TA!AJ88+ŽB!AJ66+ČL!AJ233+NB!AJ105+SM!AJ138+JI!AJ116+TU!AJ160</f>
        <v>0</v>
      </c>
      <c r="AD31" s="651">
        <f>'LB '!AK374+FR!AK111+JN!AK160+TA!AK88+ŽB!AK66+ČL!AK233+NB!AK105+SM!AK138+JI!AK116+TU!AK160</f>
        <v>-0.03</v>
      </c>
      <c r="AE31" s="120">
        <f>'LB '!AL374+FR!AL111+JN!AL160+TA!AL88+ŽB!AL66+ČL!AL233+NB!AL105+SM!AL138+JI!AL116+TU!AL160</f>
        <v>10112363</v>
      </c>
      <c r="AF31" s="14">
        <f>'LB '!AM374+FR!AM111+JN!AM160+TA!AM88+ŽB!AM66+ČL!AM233+NB!AM105+SM!AM138+JI!AM116+TU!AM160</f>
        <v>7147660</v>
      </c>
      <c r="AG31" s="14">
        <f>'LB '!AN374+FR!AN111+JN!AN160+TA!AN88+ŽB!AN66+ČL!AN233+NB!AN105+SM!AN138+JI!AN116+TU!AN160</f>
        <v>356739</v>
      </c>
      <c r="AH31" s="14">
        <f>'LB '!AO374+FR!AO111+JN!AO160+TA!AO88+ŽB!AO66+ČL!AO233+NB!AO105+SM!AO138+JI!AO116+TU!AO160</f>
        <v>2536487</v>
      </c>
      <c r="AI31" s="14">
        <f>'LB '!AP374+FR!AP111+JN!AP160+TA!AP88+ŽB!AP66+ČL!AP233+NB!AP105+SM!AP138+JI!AP116+TU!AP160</f>
        <v>71477</v>
      </c>
      <c r="AJ31" s="14">
        <f>'LB '!AQ374+FR!AQ111+JN!AQ160+TA!AQ88+ŽB!AQ66+ČL!AQ233+NB!AQ105+SM!AQ138+JI!AQ116+TU!AQ160</f>
        <v>0</v>
      </c>
      <c r="AK31" s="651">
        <f>'LB '!AR374+FR!AR111+JN!AR160+TA!AR88+ŽB!AR66+ČL!AR233+NB!AR105+SM!AR138+JI!AR116+TU!AR160</f>
        <v>9.3033000000000001</v>
      </c>
    </row>
    <row r="32" spans="1:37" x14ac:dyDescent="0.2">
      <c r="A32" s="2">
        <v>3124</v>
      </c>
      <c r="B32" s="119">
        <f>'LB '!I375+FR!I112+JN!I161+TA!I89+ŽB!I67+ČL!I234+NB!I106+SM!I139+JI!I117+TU!I161</f>
        <v>4596416</v>
      </c>
      <c r="C32" s="14">
        <f>'LB '!J375+FR!J112+JN!J161+TA!J89+ŽB!J67+ČL!J234+NB!J106+SM!J139+JI!J117+TU!J161</f>
        <v>3409804</v>
      </c>
      <c r="D32" s="14">
        <f>'LB '!K375+FR!K112+JN!K161+TA!K89+ŽB!K67+ČL!K234+NB!K106+SM!K139+JI!K117+TU!K161</f>
        <v>1152514</v>
      </c>
      <c r="E32" s="14">
        <f>'LB '!L375+FR!L112+JN!L161+TA!L89+ŽB!L67+ČL!L234+NB!L106+SM!L139+JI!L117+TU!L161</f>
        <v>34098</v>
      </c>
      <c r="F32" s="14">
        <f>'LB '!M375+FR!M112+JN!M161+TA!M89+ŽB!M67+ČL!M234+NB!M106+SM!M139+JI!M117+TU!M161</f>
        <v>0</v>
      </c>
      <c r="G32" s="651">
        <f>'LB '!N375+FR!N112+JN!N161+TA!N89+ŽB!N67+ČL!N234+NB!N106+SM!N139+JI!N117+TU!N161</f>
        <v>5.21</v>
      </c>
      <c r="H32" s="120">
        <f>'LB '!O375+FR!O112+JN!O161+TA!O89+ŽB!O67+ČL!O234+NB!O106+SM!O139+JI!O117+TU!O161</f>
        <v>0</v>
      </c>
      <c r="I32" s="14">
        <f>'LB '!P375+FR!P112+JN!P161+TA!P89+ŽB!P67+ČL!P234+NB!P106+SM!P139+JI!P117+TU!P161</f>
        <v>0</v>
      </c>
      <c r="J32" s="14">
        <f>'LB '!Q375+FR!Q112+JN!Q161+TA!Q89+ŽB!Q67+ČL!Q234+NB!Q106+SM!Q139+JI!Q117+TU!Q161</f>
        <v>0</v>
      </c>
      <c r="K32" s="14">
        <f>'LB '!R375+FR!R112+JN!R161+TA!R89+ŽB!R67+ČL!R234+NB!R106+SM!R139+JI!R117+TU!R161</f>
        <v>0</v>
      </c>
      <c r="L32" s="14">
        <f>'LB '!S375+FR!S112+JN!S161+TA!S89+ŽB!S67+ČL!S234+NB!S106+SM!S139+JI!S117+TU!S161</f>
        <v>0</v>
      </c>
      <c r="M32" s="14">
        <f>'LB '!T375+FR!T112+JN!T161+TA!T89+ŽB!T67+ČL!T234+NB!T106+SM!T139+JI!T117+TU!T161</f>
        <v>0</v>
      </c>
      <c r="N32" s="14">
        <f>'LB '!U375+FR!U112+JN!U161+TA!U89+ŽB!U67+ČL!U234+NB!U106+SM!U139+JI!U117+TU!U161</f>
        <v>0</v>
      </c>
      <c r="O32" s="14">
        <f>'LB '!V375+FR!V112+JN!V161+TA!V89+ŽB!V67+ČL!V234+NB!V106+SM!V139+JI!V117+TU!V161</f>
        <v>0</v>
      </c>
      <c r="P32" s="14">
        <f>'LB '!W375+FR!W112+JN!W161+TA!W89+ŽB!W67+ČL!W234+NB!W106+SM!W139+JI!W117+TU!W161</f>
        <v>0</v>
      </c>
      <c r="Q32" s="14">
        <f>'LB '!X375+FR!X112+JN!X161+TA!X89+ŽB!X67+ČL!X234+NB!X106+SM!X139+JI!X117+TU!X161</f>
        <v>0</v>
      </c>
      <c r="R32" s="14">
        <f>'LB '!Y375+FR!Y112+JN!Y161+TA!Y89+ŽB!Y67+ČL!Y234+NB!Y106+SM!Y139+JI!Y117+TU!Y161</f>
        <v>0</v>
      </c>
      <c r="S32" s="14">
        <f>'LB '!Z375+FR!Z112+JN!Z161+TA!Z89+ŽB!Z67+ČL!Z234+NB!Z106+SM!Z139+JI!Z117+TU!Z161</f>
        <v>0</v>
      </c>
      <c r="T32" s="14">
        <f>'LB '!AA375+FR!AA112+JN!AA161+TA!AA89+ŽB!AA67+ČL!AA234+NB!AA106+SM!AA139+JI!AA117+TU!AA161</f>
        <v>0</v>
      </c>
      <c r="U32" s="14">
        <f>'LB '!AB375+FR!AB112+JN!AB161+TA!AB89+ŽB!AB67+ČL!AB234+NB!AB106+SM!AB139+JI!AB117+TU!AB161</f>
        <v>0</v>
      </c>
      <c r="V32" s="14">
        <f>'LB '!AC375+FR!AC112+JN!AC161+TA!AC89+ŽB!AC67+ČL!AC234+NB!AC106+SM!AC139+JI!AC117+TU!AC161</f>
        <v>0</v>
      </c>
      <c r="W32" s="644">
        <f>'LB '!AD375+FR!AD112+JN!AD161+TA!AD89+ŽB!AD67+ČL!AD234+NB!AD106+SM!AD139+JI!AD117+TU!AD161</f>
        <v>0</v>
      </c>
      <c r="X32" s="650">
        <f>'LB '!AE375+FR!AE112+JN!AE161+TA!AE89+ŽB!AE67+ČL!AE234+NB!AE106+SM!AE139+JI!AE117+TU!AE161</f>
        <v>0</v>
      </c>
      <c r="Y32" s="11">
        <f>'LB '!AF375+FR!AF112+JN!AF161+TA!AF89+ŽB!AF67+ČL!AF234+NB!AF106+SM!AF139+JI!AF117+TU!AF161</f>
        <v>0</v>
      </c>
      <c r="Z32" s="11">
        <f>'LB '!AG375+FR!AG112+JN!AG161+TA!AG89+ŽB!AG67+ČL!AG234+NB!AG106+SM!AG139+JI!AG117+TU!AG161</f>
        <v>0</v>
      </c>
      <c r="AA32" s="11">
        <f>'LB '!AH375+FR!AH112+JN!AH161+TA!AH89+ŽB!AH67+ČL!AH234+NB!AH106+SM!AH139+JI!AH117+TU!AH161</f>
        <v>0</v>
      </c>
      <c r="AB32" s="11">
        <f>'LB '!AI375+FR!AI112+JN!AI161+TA!AI89+ŽB!AI67+ČL!AI234+NB!AI106+SM!AI139+JI!AI117+TU!AI161</f>
        <v>0</v>
      </c>
      <c r="AC32" s="11">
        <f>'LB '!AJ375+FR!AJ112+JN!AJ161+TA!AJ89+ŽB!AJ67+ČL!AJ234+NB!AJ106+SM!AJ139+JI!AJ117+TU!AJ161</f>
        <v>0</v>
      </c>
      <c r="AD32" s="651">
        <f>'LB '!AK375+FR!AK112+JN!AK161+TA!AK89+ŽB!AK67+ČL!AK234+NB!AK106+SM!AK139+JI!AK117+TU!AK161</f>
        <v>0</v>
      </c>
      <c r="AE32" s="120">
        <f>'LB '!AL375+FR!AL112+JN!AL161+TA!AL89+ŽB!AL67+ČL!AL234+NB!AL106+SM!AL139+JI!AL117+TU!AL161</f>
        <v>4596416</v>
      </c>
      <c r="AF32" s="14">
        <f>'LB '!AM375+FR!AM112+JN!AM161+TA!AM89+ŽB!AM67+ČL!AM234+NB!AM106+SM!AM139+JI!AM117+TU!AM161</f>
        <v>3409804</v>
      </c>
      <c r="AG32" s="14">
        <f>'LB '!AN375+FR!AN112+JN!AN161+TA!AN89+ŽB!AN67+ČL!AN234+NB!AN106+SM!AN139+JI!AN117+TU!AN161</f>
        <v>0</v>
      </c>
      <c r="AH32" s="14">
        <f>'LB '!AO375+FR!AO112+JN!AO161+TA!AO89+ŽB!AO67+ČL!AO234+NB!AO106+SM!AO139+JI!AO117+TU!AO161</f>
        <v>1152514</v>
      </c>
      <c r="AI32" s="14">
        <f>'LB '!AP375+FR!AP112+JN!AP161+TA!AP89+ŽB!AP67+ČL!AP234+NB!AP106+SM!AP139+JI!AP117+TU!AP161</f>
        <v>34098</v>
      </c>
      <c r="AJ32" s="14">
        <f>'LB '!AQ375+FR!AQ112+JN!AQ161+TA!AQ89+ŽB!AQ67+ČL!AQ234+NB!AQ106+SM!AQ139+JI!AQ117+TU!AQ161</f>
        <v>0</v>
      </c>
      <c r="AK32" s="651">
        <f>'LB '!AR375+FR!AR112+JN!AR161+TA!AR89+ŽB!AR67+ČL!AR234+NB!AR106+SM!AR139+JI!AR117+TU!AR161</f>
        <v>5.21</v>
      </c>
    </row>
    <row r="33" spans="1:37" x14ac:dyDescent="0.2">
      <c r="A33" s="2">
        <v>3141</v>
      </c>
      <c r="B33" s="119">
        <f>'LB '!I376+FR!I113+JN!I162+TA!I90+ŽB!I68+ČL!I235+NB!I107+SM!I140+JI!I118+TU!I162</f>
        <v>0</v>
      </c>
      <c r="C33" s="14">
        <f>'LB '!J376+FR!J113+JN!J162+TA!J90+ŽB!J68+ČL!J235+NB!J107+SM!J140+JI!J118+TU!J162</f>
        <v>0</v>
      </c>
      <c r="D33" s="14">
        <f>'LB '!K376+FR!K113+JN!K162+TA!K90+ŽB!K68+ČL!K235+NB!K107+SM!K140+JI!K118+TU!K162</f>
        <v>0</v>
      </c>
      <c r="E33" s="14">
        <f>'LB '!L376+FR!L113+JN!L162+TA!L90+ŽB!L68+ČL!L235+NB!L107+SM!L140+JI!L118+TU!L162</f>
        <v>0</v>
      </c>
      <c r="F33" s="14">
        <f>'LB '!M376+FR!M113+JN!M162+TA!M90+ŽB!M68+ČL!M235+NB!M107+SM!M140+JI!M118+TU!M162</f>
        <v>0</v>
      </c>
      <c r="G33" s="651">
        <f>'LB '!N376+FR!N113+JN!N162+TA!N90+ŽB!N68+ČL!N235+NB!N107+SM!N140+JI!N118+TU!N162</f>
        <v>0</v>
      </c>
      <c r="H33" s="120">
        <f>'LB '!O376+FR!O113+JN!O162+TA!O90+ŽB!O68+ČL!O235+NB!O107+SM!O140+JI!O118+TU!O162</f>
        <v>0</v>
      </c>
      <c r="I33" s="14">
        <f>'LB '!P376+FR!P113+JN!P162+TA!P90+ŽB!P68+ČL!P235+NB!P107+SM!P140+JI!P118+TU!P162</f>
        <v>0</v>
      </c>
      <c r="J33" s="14">
        <f>'LB '!Q376+FR!Q113+JN!Q162+TA!Q90+ŽB!Q68+ČL!Q235+NB!Q107+SM!Q140+JI!Q118+TU!Q162</f>
        <v>0</v>
      </c>
      <c r="K33" s="14">
        <f>'LB '!R376+FR!R113+JN!R162+TA!R90+ŽB!R68+ČL!R235+NB!R107+SM!R140+JI!R118+TU!R162</f>
        <v>0</v>
      </c>
      <c r="L33" s="14">
        <f>'LB '!S376+FR!S113+JN!S162+TA!S90+ŽB!S68+ČL!S235+NB!S107+SM!S140+JI!S118+TU!S162</f>
        <v>0</v>
      </c>
      <c r="M33" s="14">
        <f>'LB '!T376+FR!T113+JN!T162+TA!T90+ŽB!T68+ČL!T235+NB!T107+SM!T140+JI!T118+TU!T162</f>
        <v>0</v>
      </c>
      <c r="N33" s="14">
        <f>'LB '!U376+FR!U113+JN!U162+TA!U90+ŽB!U68+ČL!U235+NB!U107+SM!U140+JI!U118+TU!U162</f>
        <v>0</v>
      </c>
      <c r="O33" s="14">
        <f>'LB '!V376+FR!V113+JN!V162+TA!V90+ŽB!V68+ČL!V235+NB!V107+SM!V140+JI!V118+TU!V162</f>
        <v>0</v>
      </c>
      <c r="P33" s="14">
        <f>'LB '!W376+FR!W113+JN!W162+TA!W90+ŽB!W68+ČL!W235+NB!W107+SM!W140+JI!W118+TU!W162</f>
        <v>0</v>
      </c>
      <c r="Q33" s="14">
        <f>'LB '!X376+FR!X113+JN!X162+TA!X90+ŽB!X68+ČL!X235+NB!X107+SM!X140+JI!X118+TU!X162</f>
        <v>0</v>
      </c>
      <c r="R33" s="14">
        <f>'LB '!Y376+FR!Y113+JN!Y162+TA!Y90+ŽB!Y68+ČL!Y235+NB!Y107+SM!Y140+JI!Y118+TU!Y162</f>
        <v>0</v>
      </c>
      <c r="S33" s="14">
        <f>'LB '!Z376+FR!Z113+JN!Z162+TA!Z90+ŽB!Z68+ČL!Z235+NB!Z107+SM!Z140+JI!Z118+TU!Z162</f>
        <v>0</v>
      </c>
      <c r="T33" s="14">
        <f>'LB '!AA376+FR!AA113+JN!AA162+TA!AA90+ŽB!AA68+ČL!AA235+NB!AA107+SM!AA140+JI!AA118+TU!AA162</f>
        <v>0</v>
      </c>
      <c r="U33" s="14">
        <f>'LB '!AB376+FR!AB113+JN!AB162+TA!AB90+ŽB!AB68+ČL!AB235+NB!AB107+SM!AB140+JI!AB118+TU!AB162</f>
        <v>0</v>
      </c>
      <c r="V33" s="14">
        <f>'LB '!AC376+FR!AC113+JN!AC162+TA!AC90+ŽB!AC68+ČL!AC235+NB!AC107+SM!AC140+JI!AC118+TU!AC162</f>
        <v>0</v>
      </c>
      <c r="W33" s="644">
        <f>'LB '!AD376+FR!AD113+JN!AD162+TA!AD90+ŽB!AD68+ČL!AD235+NB!AD107+SM!AD140+JI!AD118+TU!AD162</f>
        <v>0</v>
      </c>
      <c r="X33" s="650">
        <f>'LB '!AE376+FR!AE113+JN!AE162+TA!AE90+ŽB!AE68+ČL!AE235+NB!AE107+SM!AE140+JI!AE118+TU!AE162</f>
        <v>0</v>
      </c>
      <c r="Y33" s="11">
        <f>'LB '!AF376+FR!AF113+JN!AF162+TA!AF90+ŽB!AF68+ČL!AF235+NB!AF107+SM!AF140+JI!AF118+TU!AF162</f>
        <v>0</v>
      </c>
      <c r="Z33" s="11">
        <f>'LB '!AG376+FR!AG113+JN!AG162+TA!AG90+ŽB!AG68+ČL!AG235+NB!AG107+SM!AG140+JI!AG118+TU!AG162</f>
        <v>0</v>
      </c>
      <c r="AA33" s="11">
        <f>'LB '!AH376+FR!AH113+JN!AH162+TA!AH90+ŽB!AH68+ČL!AH235+NB!AH107+SM!AH140+JI!AH118+TU!AH162</f>
        <v>0</v>
      </c>
      <c r="AB33" s="11">
        <f>'LB '!AI376+FR!AI113+JN!AI162+TA!AI90+ŽB!AI68+ČL!AI235+NB!AI107+SM!AI140+JI!AI118+TU!AI162</f>
        <v>0</v>
      </c>
      <c r="AC33" s="11">
        <f>'LB '!AJ376+FR!AJ113+JN!AJ162+TA!AJ90+ŽB!AJ68+ČL!AJ235+NB!AJ107+SM!AJ140+JI!AJ118+TU!AJ162</f>
        <v>0</v>
      </c>
      <c r="AD33" s="651">
        <f>'LB '!AK376+FR!AK113+JN!AK162+TA!AK90+ŽB!AK68+ČL!AK235+NB!AK107+SM!AK140+JI!AK118+TU!AK162</f>
        <v>0</v>
      </c>
      <c r="AE33" s="120">
        <f>'LB '!AL376+FR!AL113+JN!AL162+TA!AL90+ŽB!AL68+ČL!AL235+NB!AL107+SM!AL140+JI!AL118+TU!AL162</f>
        <v>0</v>
      </c>
      <c r="AF33" s="14">
        <f>'LB '!AM376+FR!AM113+JN!AM162+TA!AM90+ŽB!AM68+ČL!AM235+NB!AM107+SM!AM140+JI!AM118+TU!AM162</f>
        <v>0</v>
      </c>
      <c r="AG33" s="14">
        <f>'LB '!AN376+FR!AN113+JN!AN162+TA!AN90+ŽB!AN68+ČL!AN235+NB!AN107+SM!AN140+JI!AN118+TU!AN162</f>
        <v>0</v>
      </c>
      <c r="AH33" s="14">
        <f>'LB '!AO376+FR!AO113+JN!AO162+TA!AO90+ŽB!AO68+ČL!AO235+NB!AO107+SM!AO140+JI!AO118+TU!AO162</f>
        <v>0</v>
      </c>
      <c r="AI33" s="14">
        <f>'LB '!AP376+FR!AP113+JN!AP162+TA!AP90+ŽB!AP68+ČL!AP235+NB!AP107+SM!AP140+JI!AP118+TU!AP162</f>
        <v>0</v>
      </c>
      <c r="AJ33" s="14">
        <f>'LB '!AQ376+FR!AQ113+JN!AQ162+TA!AQ90+ŽB!AQ68+ČL!AQ235+NB!AQ107+SM!AQ140+JI!AQ118+TU!AQ162</f>
        <v>0</v>
      </c>
      <c r="AK33" s="651">
        <f>'LB '!AR376+FR!AR113+JN!AR162+TA!AR90+ŽB!AR68+ČL!AR235+NB!AR107+SM!AR140+JI!AR118+TU!AR162</f>
        <v>0</v>
      </c>
    </row>
    <row r="34" spans="1:37" x14ac:dyDescent="0.2">
      <c r="A34" s="2">
        <v>3143</v>
      </c>
      <c r="B34" s="119">
        <f>'LB '!I377+FR!I114+JN!I163+TA!I91+ŽB!I69+ČL!I236+NB!I108+SM!I141+JI!I119+TU!I163</f>
        <v>350644792</v>
      </c>
      <c r="C34" s="14">
        <f>'LB '!J377+FR!J114+JN!J163+TA!J91+ŽB!J69+ČL!J236+NB!J108+SM!J141+JI!J119+TU!J163</f>
        <v>260122244</v>
      </c>
      <c r="D34" s="14">
        <f>'LB '!K377+FR!K114+JN!K163+TA!K91+ŽB!K69+ČL!K236+NB!K108+SM!K141+JI!K119+TU!K163</f>
        <v>87921326</v>
      </c>
      <c r="E34" s="14">
        <f>'LB '!L377+FR!L114+JN!L163+TA!L91+ŽB!L69+ČL!L236+NB!L108+SM!L141+JI!L119+TU!L163</f>
        <v>2601222</v>
      </c>
      <c r="F34" s="14">
        <f>'LB '!M377+FR!M114+JN!M163+TA!M91+ŽB!M69+ČL!M236+NB!M108+SM!M141+JI!M119+TU!M163</f>
        <v>0</v>
      </c>
      <c r="G34" s="651">
        <f>'LB '!N377+FR!N114+JN!N163+TA!N91+ŽB!N69+ČL!N236+NB!N108+SM!N141+JI!N119+TU!N163</f>
        <v>490.94929999999999</v>
      </c>
      <c r="H34" s="120">
        <f>'LB '!O377+FR!O114+JN!O163+TA!O91+ŽB!O69+ČL!O236+NB!O108+SM!O141+JI!O119+TU!O163</f>
        <v>-1037960</v>
      </c>
      <c r="I34" s="14">
        <f>'LB '!P377+FR!P114+JN!P163+TA!P91+ŽB!P69+ČL!P236+NB!P108+SM!P141+JI!P119+TU!P163</f>
        <v>0</v>
      </c>
      <c r="J34" s="14">
        <f>'LB '!Q377+FR!Q114+JN!Q163+TA!Q91+ŽB!Q69+ČL!Q236+NB!Q108+SM!Q141+JI!Q119+TU!Q163</f>
        <v>0</v>
      </c>
      <c r="K34" s="14">
        <f>'LB '!R377+FR!R114+JN!R163+TA!R91+ŽB!R69+ČL!R236+NB!R108+SM!R141+JI!R119+TU!R163</f>
        <v>0</v>
      </c>
      <c r="L34" s="14">
        <f>'LB '!S377+FR!S114+JN!S163+TA!S91+ŽB!S69+ČL!S236+NB!S108+SM!S141+JI!S119+TU!S163</f>
        <v>0</v>
      </c>
      <c r="M34" s="14">
        <f>'LB '!T377+FR!T114+JN!T163+TA!T91+ŽB!T69+ČL!T236+NB!T108+SM!T141+JI!T119+TU!T163</f>
        <v>0</v>
      </c>
      <c r="N34" s="14">
        <f>'LB '!U377+FR!U114+JN!U163+TA!U91+ŽB!U69+ČL!U236+NB!U108+SM!U141+JI!U119+TU!U163</f>
        <v>-1037960</v>
      </c>
      <c r="O34" s="14">
        <f>'LB '!V377+FR!V114+JN!V163+TA!V91+ŽB!V69+ČL!V236+NB!V108+SM!V141+JI!V119+TU!V163</f>
        <v>1037960</v>
      </c>
      <c r="P34" s="14">
        <f>'LB '!W377+FR!W114+JN!W163+TA!W91+ŽB!W69+ČL!W236+NB!W108+SM!W141+JI!W119+TU!W163</f>
        <v>67890</v>
      </c>
      <c r="Q34" s="14">
        <f>'LB '!X377+FR!X114+JN!X163+TA!X91+ŽB!X69+ČL!X236+NB!X108+SM!X141+JI!X119+TU!X163</f>
        <v>0</v>
      </c>
      <c r="R34" s="14">
        <f>'LB '!Y377+FR!Y114+JN!Y163+TA!Y91+ŽB!Y69+ČL!Y236+NB!Y108+SM!Y141+JI!Y119+TU!Y163</f>
        <v>1105850</v>
      </c>
      <c r="S34" s="14">
        <f>'LB '!Z377+FR!Z114+JN!Z163+TA!Z91+ŽB!Z69+ČL!Z236+NB!Z108+SM!Z141+JI!Z119+TU!Z163</f>
        <v>67890</v>
      </c>
      <c r="T34" s="14">
        <f>'LB '!AA377+FR!AA114+JN!AA163+TA!AA91+ŽB!AA69+ČL!AA236+NB!AA108+SM!AA141+JI!AA119+TU!AA163</f>
        <v>22947</v>
      </c>
      <c r="U34" s="14">
        <f>'LB '!AB377+FR!AB114+JN!AB163+TA!AB91+ŽB!AB69+ČL!AB236+NB!AB108+SM!AB141+JI!AB119+TU!AB163</f>
        <v>-10380</v>
      </c>
      <c r="V34" s="14">
        <f>'LB '!AC377+FR!AC114+JN!AC163+TA!AC91+ŽB!AC69+ČL!AC236+NB!AC108+SM!AC141+JI!AC119+TU!AC163</f>
        <v>0</v>
      </c>
      <c r="W34" s="644">
        <f>'LB '!AD377+FR!AD114+JN!AD163+TA!AD91+ŽB!AD69+ČL!AD236+NB!AD108+SM!AD141+JI!AD119+TU!AD163</f>
        <v>80457</v>
      </c>
      <c r="X34" s="650">
        <f>'LB '!AE377+FR!AE114+JN!AE163+TA!AE91+ŽB!AE69+ČL!AE236+NB!AE108+SM!AE141+JI!AE119+TU!AE163</f>
        <v>-0.57000000000000006</v>
      </c>
      <c r="Y34" s="11">
        <f>'LB '!AF377+FR!AF114+JN!AF163+TA!AF91+ŽB!AF69+ČL!AF236+NB!AF108+SM!AF141+JI!AF119+TU!AF163</f>
        <v>0</v>
      </c>
      <c r="Z34" s="11">
        <f>'LB '!AG377+FR!AG114+JN!AG163+TA!AG91+ŽB!AG69+ČL!AG236+NB!AG108+SM!AG141+JI!AG119+TU!AG163</f>
        <v>0</v>
      </c>
      <c r="AA34" s="11">
        <f>'LB '!AH377+FR!AH114+JN!AH163+TA!AH91+ŽB!AH69+ČL!AH236+NB!AH108+SM!AH141+JI!AH119+TU!AH163</f>
        <v>0</v>
      </c>
      <c r="AB34" s="11">
        <f>'LB '!AI377+FR!AI114+JN!AI163+TA!AI91+ŽB!AI69+ČL!AI236+NB!AI108+SM!AI141+JI!AI119+TU!AI163</f>
        <v>0</v>
      </c>
      <c r="AC34" s="11">
        <f>'LB '!AJ377+FR!AJ114+JN!AJ163+TA!AJ91+ŽB!AJ69+ČL!AJ236+NB!AJ108+SM!AJ141+JI!AJ119+TU!AJ163</f>
        <v>0</v>
      </c>
      <c r="AD34" s="651">
        <f>'LB '!AK377+FR!AK114+JN!AK163+TA!AK91+ŽB!AK69+ČL!AK236+NB!AK108+SM!AK141+JI!AK119+TU!AK163</f>
        <v>-0.57000000000000006</v>
      </c>
      <c r="AE34" s="120">
        <f>'LB '!AL377+FR!AL114+JN!AL163+TA!AL91+ŽB!AL69+ČL!AL236+NB!AL108+SM!AL141+JI!AL119+TU!AL163</f>
        <v>350725249</v>
      </c>
      <c r="AF34" s="14">
        <f>'LB '!AM377+FR!AM114+JN!AM163+TA!AM91+ŽB!AM69+ČL!AM236+NB!AM108+SM!AM141+JI!AM119+TU!AM163</f>
        <v>259084284</v>
      </c>
      <c r="AG34" s="14">
        <f>'LB '!AN377+FR!AN114+JN!AN163+TA!AN91+ŽB!AN69+ČL!AN236+NB!AN108+SM!AN141+JI!AN119+TU!AN163</f>
        <v>1105850</v>
      </c>
      <c r="AH34" s="14">
        <f>'LB '!AO377+FR!AO114+JN!AO163+TA!AO91+ŽB!AO69+ČL!AO236+NB!AO108+SM!AO141+JI!AO119+TU!AO163</f>
        <v>87944273</v>
      </c>
      <c r="AI34" s="14">
        <f>'LB '!AP377+FR!AP114+JN!AP163+TA!AP91+ŽB!AP69+ČL!AP236+NB!AP108+SM!AP141+JI!AP119+TU!AP163</f>
        <v>2590842</v>
      </c>
      <c r="AJ34" s="14">
        <f>'LB '!AQ377+FR!AQ114+JN!AQ163+TA!AQ91+ŽB!AQ69+ČL!AQ236+NB!AQ108+SM!AQ141+JI!AQ119+TU!AQ163</f>
        <v>0</v>
      </c>
      <c r="AK34" s="651">
        <f>'LB '!AR377+FR!AR114+JN!AR163+TA!AR91+ŽB!AR69+ČL!AR236+NB!AR108+SM!AR141+JI!AR119+TU!AR163</f>
        <v>490.37930000000006</v>
      </c>
    </row>
    <row r="35" spans="1:37" x14ac:dyDescent="0.2">
      <c r="A35" s="2">
        <v>3231</v>
      </c>
      <c r="B35" s="119">
        <f>'LB '!I378+FR!I115+JN!I164+TA!I92+ŽB!I70+ČL!I237+NB!I109+SM!I142+JI!I120+TU!I164</f>
        <v>338433887</v>
      </c>
      <c r="C35" s="14">
        <f>'LB '!J378+FR!J115+JN!J164+TA!J92+ŽB!J70+ČL!J237+NB!J109+SM!J142+JI!J120+TU!J164</f>
        <v>251063712</v>
      </c>
      <c r="D35" s="14">
        <f>'LB '!K378+FR!K115+JN!K164+TA!K92+ŽB!K70+ČL!K237+NB!K109+SM!K142+JI!K120+TU!K164</f>
        <v>84859540</v>
      </c>
      <c r="E35" s="14">
        <f>'LB '!L378+FR!L115+JN!L164+TA!L92+ŽB!L70+ČL!L237+NB!L109+SM!L142+JI!L120+TU!L164</f>
        <v>2510635</v>
      </c>
      <c r="F35" s="14">
        <f>'LB '!M378+FR!M115+JN!M164+TA!M92+ŽB!M70+ČL!M237+NB!M109+SM!M142+JI!M120+TU!M164</f>
        <v>0</v>
      </c>
      <c r="G35" s="651">
        <f>'LB '!N378+FR!N115+JN!N164+TA!N92+ŽB!N70+ČL!N237+NB!N109+SM!N142+JI!N120+TU!N164</f>
        <v>376.57339999999994</v>
      </c>
      <c r="H35" s="120">
        <f>'LB '!O378+FR!O115+JN!O164+TA!O92+ŽB!O70+ČL!O237+NB!O109+SM!O142+JI!O120+TU!O164</f>
        <v>-403200</v>
      </c>
      <c r="I35" s="14">
        <f>'LB '!P378+FR!P115+JN!P164+TA!P92+ŽB!P70+ČL!P237+NB!P109+SM!P142+JI!P120+TU!P164</f>
        <v>0</v>
      </c>
      <c r="J35" s="14">
        <f>'LB '!Q378+FR!Q115+JN!Q164+TA!Q92+ŽB!Q70+ČL!Q237+NB!Q109+SM!Q142+JI!Q120+TU!Q164</f>
        <v>0</v>
      </c>
      <c r="K35" s="14">
        <f>'LB '!R378+FR!R115+JN!R164+TA!R92+ŽB!R70+ČL!R237+NB!R109+SM!R142+JI!R120+TU!R164</f>
        <v>0</v>
      </c>
      <c r="L35" s="14">
        <f>'LB '!S378+FR!S115+JN!S164+TA!S92+ŽB!S70+ČL!S237+NB!S109+SM!S142+JI!S120+TU!S164</f>
        <v>0</v>
      </c>
      <c r="M35" s="14">
        <f>'LB '!T378+FR!T115+JN!T164+TA!T92+ŽB!T70+ČL!T237+NB!T109+SM!T142+JI!T120+TU!T164</f>
        <v>0</v>
      </c>
      <c r="N35" s="14">
        <f>'LB '!U378+FR!U115+JN!U164+TA!U92+ŽB!U70+ČL!U237+NB!U109+SM!U142+JI!U120+TU!U164</f>
        <v>-403200</v>
      </c>
      <c r="O35" s="14">
        <f>'LB '!V378+FR!V115+JN!V164+TA!V92+ŽB!V70+ČL!V237+NB!V109+SM!V142+JI!V120+TU!V164</f>
        <v>403200</v>
      </c>
      <c r="P35" s="14">
        <f>'LB '!W378+FR!W115+JN!W164+TA!W92+ŽB!W70+ČL!W237+NB!W109+SM!W142+JI!W120+TU!W164</f>
        <v>0</v>
      </c>
      <c r="Q35" s="14">
        <f>'LB '!X378+FR!X115+JN!X164+TA!X92+ŽB!X70+ČL!X237+NB!X109+SM!X142+JI!X120+TU!X164</f>
        <v>0</v>
      </c>
      <c r="R35" s="14">
        <f>'LB '!Y378+FR!Y115+JN!Y164+TA!Y92+ŽB!Y70+ČL!Y237+NB!Y109+SM!Y142+JI!Y120+TU!Y164</f>
        <v>403200</v>
      </c>
      <c r="S35" s="14">
        <f>'LB '!Z378+FR!Z115+JN!Z164+TA!Z92+ŽB!Z70+ČL!Z237+NB!Z109+SM!Z142+JI!Z120+TU!Z164</f>
        <v>0</v>
      </c>
      <c r="T35" s="14">
        <f>'LB '!AA378+FR!AA115+JN!AA164+TA!AA92+ŽB!AA70+ČL!AA237+NB!AA109+SM!AA142+JI!AA120+TU!AA164</f>
        <v>0</v>
      </c>
      <c r="U35" s="14">
        <f>'LB '!AB378+FR!AB115+JN!AB164+TA!AB92+ŽB!AB70+ČL!AB237+NB!AB109+SM!AB142+JI!AB120+TU!AB164</f>
        <v>-4032</v>
      </c>
      <c r="V35" s="14">
        <f>'LB '!AC378+FR!AC115+JN!AC164+TA!AC92+ŽB!AC70+ČL!AC237+NB!AC109+SM!AC142+JI!AC120+TU!AC164</f>
        <v>0</v>
      </c>
      <c r="W35" s="644">
        <f>'LB '!AD378+FR!AD115+JN!AD164+TA!AD92+ŽB!AD70+ČL!AD237+NB!AD109+SM!AD142+JI!AD120+TU!AD164</f>
        <v>-4032</v>
      </c>
      <c r="X35" s="650">
        <f>'LB '!AE378+FR!AE115+JN!AE164+TA!AE92+ŽB!AE70+ČL!AE237+NB!AE109+SM!AE142+JI!AE120+TU!AE164</f>
        <v>-0.42000000000000004</v>
      </c>
      <c r="Y35" s="11">
        <f>'LB '!AF378+FR!AF115+JN!AF164+TA!AF92+ŽB!AF70+ČL!AF237+NB!AF109+SM!AF142+JI!AF120+TU!AF164</f>
        <v>0</v>
      </c>
      <c r="Z35" s="11">
        <f>'LB '!AG378+FR!AG115+JN!AG164+TA!AG92+ŽB!AG70+ČL!AG237+NB!AG109+SM!AG142+JI!AG120+TU!AG164</f>
        <v>0</v>
      </c>
      <c r="AA35" s="11">
        <f>'LB '!AH378+FR!AH115+JN!AH164+TA!AH92+ŽB!AH70+ČL!AH237+NB!AH109+SM!AH142+JI!AH120+TU!AH164</f>
        <v>0</v>
      </c>
      <c r="AB35" s="11">
        <f>'LB '!AI378+FR!AI115+JN!AI164+TA!AI92+ŽB!AI70+ČL!AI237+NB!AI109+SM!AI142+JI!AI120+TU!AI164</f>
        <v>0</v>
      </c>
      <c r="AC35" s="11">
        <f>'LB '!AJ378+FR!AJ115+JN!AJ164+TA!AJ92+ŽB!AJ70+ČL!AJ237+NB!AJ109+SM!AJ142+JI!AJ120+TU!AJ164</f>
        <v>0</v>
      </c>
      <c r="AD35" s="651">
        <f>'LB '!AK378+FR!AK115+JN!AK164+TA!AK92+ŽB!AK70+ČL!AK237+NB!AK109+SM!AK142+JI!AK120+TU!AK164</f>
        <v>-0.42000000000000004</v>
      </c>
      <c r="AE35" s="120">
        <f>'LB '!AL378+FR!AL115+JN!AL164+TA!AL92+ŽB!AL70+ČL!AL237+NB!AL109+SM!AL142+JI!AL120+TU!AL164</f>
        <v>338429855</v>
      </c>
      <c r="AF35" s="14">
        <f>'LB '!AM378+FR!AM115+JN!AM164+TA!AM92+ŽB!AM70+ČL!AM237+NB!AM109+SM!AM142+JI!AM120+TU!AM164</f>
        <v>250660512</v>
      </c>
      <c r="AG35" s="14">
        <f>'LB '!AN378+FR!AN115+JN!AN164+TA!AN92+ŽB!AN70+ČL!AN237+NB!AN109+SM!AN142+JI!AN120+TU!AN164</f>
        <v>403200</v>
      </c>
      <c r="AH35" s="14">
        <f>'LB '!AO378+FR!AO115+JN!AO164+TA!AO92+ŽB!AO70+ČL!AO237+NB!AO109+SM!AO142+JI!AO120+TU!AO164</f>
        <v>84859540</v>
      </c>
      <c r="AI35" s="14">
        <f>'LB '!AP378+FR!AP115+JN!AP164+TA!AP92+ŽB!AP70+ČL!AP237+NB!AP109+SM!AP142+JI!AP120+TU!AP164</f>
        <v>2506603</v>
      </c>
      <c r="AJ35" s="14">
        <f>'LB '!AQ378+FR!AQ115+JN!AQ164+TA!AQ92+ŽB!AQ70+ČL!AQ237+NB!AQ109+SM!AQ142+JI!AQ120+TU!AQ164</f>
        <v>0</v>
      </c>
      <c r="AK35" s="651">
        <f>'LB '!AR378+FR!AR115+JN!AR164+TA!AR92+ŽB!AR70+ČL!AR237+NB!AR109+SM!AR142+JI!AR120+TU!AR164</f>
        <v>376.15339999999992</v>
      </c>
    </row>
    <row r="36" spans="1:37" ht="13.5" thickBot="1" x14ac:dyDescent="0.25">
      <c r="A36" s="103">
        <v>3233</v>
      </c>
      <c r="B36" s="122">
        <f>'LB '!I379+FR!I116+JN!I165+TA!I93+ŽB!I71+ČL!I238+NB!I110+SM!I143+JI!I121+TU!I165</f>
        <v>46344595</v>
      </c>
      <c r="C36" s="123">
        <f>'LB '!J379+FR!J116+JN!J165+TA!J93+ŽB!J71+ČL!J238+NB!J110+SM!J143+JI!J121+TU!J165</f>
        <v>34380262</v>
      </c>
      <c r="D36" s="123">
        <f>'LB '!K379+FR!K116+JN!K165+TA!K93+ŽB!K71+ČL!K238+NB!K110+SM!K143+JI!K121+TU!K165</f>
        <v>11620530</v>
      </c>
      <c r="E36" s="123">
        <f>'LB '!L379+FR!L116+JN!L165+TA!L93+ŽB!L71+ČL!L238+NB!L110+SM!L143+JI!L121+TU!L165</f>
        <v>343803</v>
      </c>
      <c r="F36" s="123">
        <f>'LB '!M379+FR!M116+JN!M165+TA!M93+ŽB!M71+ČL!M238+NB!M110+SM!M143+JI!M121+TU!M165</f>
        <v>0</v>
      </c>
      <c r="G36" s="653">
        <f>'LB '!N379+FR!N116+JN!N165+TA!N93+ŽB!N71+ČL!N238+NB!N110+SM!N143+JI!N121+TU!N165</f>
        <v>58.19</v>
      </c>
      <c r="H36" s="125">
        <f>'LB '!O379+FR!O116+JN!O165+TA!O93+ŽB!O71+ČL!O238+NB!O110+SM!O143+JI!O121+TU!O165</f>
        <v>-1529000</v>
      </c>
      <c r="I36" s="123">
        <f>'LB '!P379+FR!P116+JN!P165+TA!P93+ŽB!P71+ČL!P238+NB!P110+SM!P143+JI!P121+TU!P165</f>
        <v>0</v>
      </c>
      <c r="J36" s="123">
        <f>'LB '!Q379+FR!Q116+JN!Q165+TA!Q93+ŽB!Q71+ČL!Q238+NB!Q110+SM!Q143+JI!Q121+TU!Q165</f>
        <v>0</v>
      </c>
      <c r="K36" s="123">
        <f>'LB '!R379+FR!R116+JN!R165+TA!R93+ŽB!R71+ČL!R238+NB!R110+SM!R143+JI!R121+TU!R165</f>
        <v>0</v>
      </c>
      <c r="L36" s="123">
        <f>'LB '!S379+FR!S116+JN!S165+TA!S93+ŽB!S71+ČL!S238+NB!S110+SM!S143+JI!S121+TU!S165</f>
        <v>0</v>
      </c>
      <c r="M36" s="123">
        <f>'LB '!T379+FR!T116+JN!T165+TA!T93+ŽB!T71+ČL!T238+NB!T110+SM!T143+JI!T121+TU!T165</f>
        <v>0</v>
      </c>
      <c r="N36" s="123">
        <f>'LB '!U379+FR!U116+JN!U165+TA!U93+ŽB!U71+ČL!U238+NB!U110+SM!U143+JI!U121+TU!U165</f>
        <v>-1529000</v>
      </c>
      <c r="O36" s="123">
        <f>'LB '!V379+FR!V116+JN!V165+TA!V93+ŽB!V71+ČL!V238+NB!V110+SM!V143+JI!V121+TU!V165</f>
        <v>1529000</v>
      </c>
      <c r="P36" s="123">
        <f>'LB '!W379+FR!W116+JN!W165+TA!W93+ŽB!W71+ČL!W238+NB!W110+SM!W143+JI!W121+TU!W165</f>
        <v>0</v>
      </c>
      <c r="Q36" s="123">
        <f>'LB '!X379+FR!X116+JN!X165+TA!X93+ŽB!X71+ČL!X238+NB!X110+SM!X143+JI!X121+TU!X165</f>
        <v>0</v>
      </c>
      <c r="R36" s="123">
        <f>'LB '!Y379+FR!Y116+JN!Y165+TA!Y93+ŽB!Y71+ČL!Y238+NB!Y110+SM!Y143+JI!Y121+TU!Y165</f>
        <v>1529000</v>
      </c>
      <c r="S36" s="123">
        <f>'LB '!Z379+FR!Z116+JN!Z165+TA!Z93+ŽB!Z71+ČL!Z238+NB!Z110+SM!Z143+JI!Z121+TU!Z165</f>
        <v>0</v>
      </c>
      <c r="T36" s="123">
        <f>'LB '!AA379+FR!AA116+JN!AA165+TA!AA93+ŽB!AA71+ČL!AA238+NB!AA110+SM!AA143+JI!AA121+TU!AA165</f>
        <v>0</v>
      </c>
      <c r="U36" s="123">
        <f>'LB '!AB379+FR!AB116+JN!AB165+TA!AB93+ŽB!AB71+ČL!AB238+NB!AB110+SM!AB143+JI!AB121+TU!AB165</f>
        <v>-15290</v>
      </c>
      <c r="V36" s="123">
        <f>'LB '!AC379+FR!AC116+JN!AC165+TA!AC93+ŽB!AC71+ČL!AC238+NB!AC110+SM!AC143+JI!AC121+TU!AC165</f>
        <v>0</v>
      </c>
      <c r="W36" s="645">
        <f>'LB '!AD379+FR!AD116+JN!AD165+TA!AD93+ŽB!AD71+ČL!AD238+NB!AD110+SM!AD143+JI!AD121+TU!AD165</f>
        <v>-15290</v>
      </c>
      <c r="X36" s="652">
        <f>'LB '!AE379+FR!AE116+JN!AE165+TA!AE93+ŽB!AE71+ČL!AE238+NB!AE110+SM!AE143+JI!AE121+TU!AE165</f>
        <v>-2.8499999999999992</v>
      </c>
      <c r="Y36" s="124">
        <f>'LB '!AF379+FR!AF116+JN!AF165+TA!AF93+ŽB!AF71+ČL!AF238+NB!AF110+SM!AF143+JI!AF121+TU!AF165</f>
        <v>0</v>
      </c>
      <c r="Z36" s="124">
        <f>'LB '!AG379+FR!AG116+JN!AG165+TA!AG93+ŽB!AG71+ČL!AG238+NB!AG110+SM!AG143+JI!AG121+TU!AG165</f>
        <v>0</v>
      </c>
      <c r="AA36" s="124">
        <f>'LB '!AH379+FR!AH116+JN!AH165+TA!AH93+ŽB!AH71+ČL!AH238+NB!AH110+SM!AH143+JI!AH121+TU!AH165</f>
        <v>0</v>
      </c>
      <c r="AB36" s="124">
        <f>'LB '!AI379+FR!AI116+JN!AI165+TA!AI93+ŽB!AI71+ČL!AI238+NB!AI110+SM!AI143+JI!AI121+TU!AI165</f>
        <v>0</v>
      </c>
      <c r="AC36" s="124">
        <f>'LB '!AJ379+FR!AJ116+JN!AJ165+TA!AJ93+ŽB!AJ71+ČL!AJ238+NB!AJ110+SM!AJ143+JI!AJ121+TU!AJ165</f>
        <v>0</v>
      </c>
      <c r="AD36" s="653">
        <f>'LB '!AK379+FR!AK116+JN!AK165+TA!AK93+ŽB!AK71+ČL!AK238+NB!AK110+SM!AK143+JI!AK121+TU!AK165</f>
        <v>-2.8499999999999992</v>
      </c>
      <c r="AE36" s="125">
        <f>'LB '!AL379+FR!AL116+JN!AL165+TA!AL93+ŽB!AL71+ČL!AL238+NB!AL110+SM!AL143+JI!AL121+TU!AL165</f>
        <v>46329305</v>
      </c>
      <c r="AF36" s="123">
        <f>'LB '!AM379+FR!AM116+JN!AM165+TA!AM93+ŽB!AM71+ČL!AM238+NB!AM110+SM!AM143+JI!AM121+TU!AM165</f>
        <v>32851262</v>
      </c>
      <c r="AG36" s="123">
        <f>'LB '!AN379+FR!AN116+JN!AN165+TA!AN93+ŽB!AN71+ČL!AN238+NB!AN110+SM!AN143+JI!AN121+TU!AN165</f>
        <v>1529000</v>
      </c>
      <c r="AH36" s="123">
        <f>'LB '!AO379+FR!AO116+JN!AO165+TA!AO93+ŽB!AO71+ČL!AO238+NB!AO110+SM!AO143+JI!AO121+TU!AO165</f>
        <v>11620530</v>
      </c>
      <c r="AI36" s="123">
        <f>'LB '!AP379+FR!AP116+JN!AP165+TA!AP93+ŽB!AP71+ČL!AP238+NB!AP110+SM!AP143+JI!AP121+TU!AP165</f>
        <v>328513</v>
      </c>
      <c r="AJ36" s="123">
        <f>'LB '!AQ379+FR!AQ116+JN!AQ165+TA!AQ93+ŽB!AQ71+ČL!AQ238+NB!AQ110+SM!AQ143+JI!AQ121+TU!AQ165</f>
        <v>0</v>
      </c>
      <c r="AK36" s="653">
        <f>'LB '!AR379+FR!AR116+JN!AR165+TA!AR93+ŽB!AR71+ČL!AR238+NB!AR110+SM!AR143+JI!AR121+TU!AR165</f>
        <v>55.34</v>
      </c>
    </row>
    <row r="37" spans="1:37" x14ac:dyDescent="0.2">
      <c r="A37" s="8"/>
      <c r="B37" s="13"/>
      <c r="C37" s="13"/>
      <c r="D37" s="13"/>
      <c r="E37" s="13"/>
      <c r="F37" s="13"/>
      <c r="G37" s="874"/>
    </row>
  </sheetData>
  <mergeCells count="45">
    <mergeCell ref="AF9:AI9"/>
    <mergeCell ref="AI10:AI11"/>
    <mergeCell ref="AH10:AH11"/>
    <mergeCell ref="H10:H11"/>
    <mergeCell ref="K10:K11"/>
    <mergeCell ref="M10:M11"/>
    <mergeCell ref="N10:N11"/>
    <mergeCell ref="P10:P11"/>
    <mergeCell ref="O10:O11"/>
    <mergeCell ref="Q10:Q11"/>
    <mergeCell ref="S8:S11"/>
    <mergeCell ref="AC9:AC11"/>
    <mergeCell ref="AD9:AD11"/>
    <mergeCell ref="Y9:Y11"/>
    <mergeCell ref="V8:V11"/>
    <mergeCell ref="AE9:AE11"/>
    <mergeCell ref="AK9:AK11"/>
    <mergeCell ref="AF10:AF11"/>
    <mergeCell ref="R10:R11"/>
    <mergeCell ref="X9:X11"/>
    <mergeCell ref="AG10:AG11"/>
    <mergeCell ref="AA9:AA11"/>
    <mergeCell ref="AB9:AB11"/>
    <mergeCell ref="O8:R9"/>
    <mergeCell ref="T8:T11"/>
    <mergeCell ref="U8:U11"/>
    <mergeCell ref="W8:W11"/>
    <mergeCell ref="Z9:Z11"/>
    <mergeCell ref="AE7:AK8"/>
    <mergeCell ref="AJ10:AJ11"/>
    <mergeCell ref="H7:AD7"/>
    <mergeCell ref="X8:AD8"/>
    <mergeCell ref="A3:G3"/>
    <mergeCell ref="B9:B11"/>
    <mergeCell ref="B7:G8"/>
    <mergeCell ref="C10:C11"/>
    <mergeCell ref="D10:D11"/>
    <mergeCell ref="G9:G11"/>
    <mergeCell ref="F10:F11"/>
    <mergeCell ref="C9:E9"/>
    <mergeCell ref="L10:L11"/>
    <mergeCell ref="H8:N9"/>
    <mergeCell ref="E10:E11"/>
    <mergeCell ref="I10:I11"/>
    <mergeCell ref="J10:J11"/>
  </mergeCells>
  <pageMargins left="0.7" right="0.7" top="0.78740157499999996" bottom="0.78740157499999996" header="0.3" footer="0.3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75D6-95EA-4452-AFDC-DB112C87746B}">
  <dimension ref="A1:AR465"/>
  <sheetViews>
    <sheetView zoomScaleNormal="100" workbookViewId="0">
      <pane xSplit="8" ySplit="11" topLeftCell="AD355" activePane="bottomRight" state="frozen"/>
      <selection activeCell="V7" sqref="V7:AD10"/>
      <selection pane="topRight" activeCell="V7" sqref="V7:AD10"/>
      <selection pane="bottomLeft" activeCell="V7" sqref="V7:AD10"/>
      <selection pane="bottomRight" activeCell="I6" sqref="I6:AR10"/>
    </sheetView>
  </sheetViews>
  <sheetFormatPr defaultColWidth="9.140625" defaultRowHeight="11.25" x14ac:dyDescent="0.2"/>
  <cols>
    <col min="1" max="1" width="5" style="474" customWidth="1"/>
    <col min="2" max="2" width="4.7109375" style="475" customWidth="1"/>
    <col min="3" max="3" width="8.7109375" style="475" customWidth="1"/>
    <col min="4" max="4" width="7.85546875" style="475" customWidth="1"/>
    <col min="5" max="5" width="31.28515625" style="474" customWidth="1"/>
    <col min="6" max="6" width="4.42578125" style="474" customWidth="1"/>
    <col min="7" max="7" width="10" style="474" customWidth="1"/>
    <col min="8" max="8" width="9.42578125" style="474" customWidth="1"/>
    <col min="9" max="9" width="12.5703125" style="473" customWidth="1"/>
    <col min="10" max="10" width="13.28515625" style="473" customWidth="1"/>
    <col min="11" max="11" width="12.42578125" style="473" customWidth="1"/>
    <col min="12" max="13" width="11.7109375" style="473" customWidth="1"/>
    <col min="14" max="14" width="9.7109375" style="472" customWidth="1"/>
    <col min="15" max="17" width="10.85546875" style="473" customWidth="1"/>
    <col min="18" max="19" width="10.5703125" style="473" customWidth="1"/>
    <col min="20" max="20" width="10.85546875" style="473" customWidth="1"/>
    <col min="21" max="21" width="11.7109375" style="473" customWidth="1"/>
    <col min="22" max="29" width="10.85546875" style="473" customWidth="1"/>
    <col min="30" max="30" width="12.28515625" style="473" customWidth="1"/>
    <col min="31" max="33" width="9.28515625" style="472" customWidth="1"/>
    <col min="34" max="34" width="10" style="472" customWidth="1"/>
    <col min="35" max="35" width="10.5703125" style="472" customWidth="1"/>
    <col min="36" max="36" width="10.140625" style="472" customWidth="1"/>
    <col min="37" max="37" width="9.28515625" style="472" customWidth="1"/>
    <col min="38" max="38" width="11.5703125" style="473" customWidth="1"/>
    <col min="39" max="39" width="12.28515625" style="473" customWidth="1"/>
    <col min="40" max="40" width="11.7109375" style="473" customWidth="1"/>
    <col min="41" max="41" width="11.5703125" style="473" customWidth="1"/>
    <col min="42" max="43" width="10.5703125" style="473" customWidth="1"/>
    <col min="44" max="44" width="9.5703125" style="472" customWidth="1"/>
    <col min="45" max="45" width="9.140625" style="471" customWidth="1"/>
    <col min="46" max="16384" width="9.140625" style="471"/>
  </cols>
  <sheetData>
    <row r="1" spans="1:44" ht="12.75" x14ac:dyDescent="0.2">
      <c r="A1" s="46" t="s">
        <v>2</v>
      </c>
      <c r="B1" s="46"/>
      <c r="C1" s="38"/>
      <c r="D1" s="46"/>
      <c r="E1" s="46"/>
      <c r="I1" s="474"/>
      <c r="J1" s="474"/>
      <c r="K1" s="474"/>
      <c r="L1" s="474"/>
      <c r="M1" s="474"/>
      <c r="O1" s="472"/>
      <c r="P1" s="472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</row>
    <row r="2" spans="1:44" ht="12.75" x14ac:dyDescent="0.2">
      <c r="A2" s="46" t="s">
        <v>3</v>
      </c>
      <c r="B2" s="46"/>
      <c r="C2" s="38"/>
      <c r="D2" s="46"/>
      <c r="E2" s="46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</row>
    <row r="3" spans="1:44" ht="12" x14ac:dyDescent="0.2">
      <c r="A3" s="40" t="s">
        <v>4</v>
      </c>
      <c r="B3" s="40"/>
      <c r="C3" s="40"/>
      <c r="D3" s="40"/>
      <c r="E3" s="40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</row>
    <row r="4" spans="1:44" ht="12" x14ac:dyDescent="0.2">
      <c r="A4" s="46"/>
      <c r="B4" s="46"/>
      <c r="C4" s="46"/>
      <c r="D4" s="46"/>
      <c r="E4" s="46"/>
      <c r="I4" s="474"/>
      <c r="J4" s="474"/>
      <c r="K4" s="474"/>
      <c r="L4" s="474"/>
      <c r="M4" s="474"/>
      <c r="N4" s="476"/>
      <c r="P4" s="900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F4" s="900"/>
    </row>
    <row r="5" spans="1:44" ht="16.5" thickBot="1" x14ac:dyDescent="0.3">
      <c r="A5" s="127" t="s">
        <v>841</v>
      </c>
      <c r="F5" s="551"/>
      <c r="G5" s="551"/>
      <c r="I5" s="474"/>
      <c r="J5" s="474"/>
      <c r="K5" s="474"/>
      <c r="L5" s="474"/>
      <c r="M5" s="474"/>
      <c r="N5" s="476"/>
      <c r="O5" s="474"/>
      <c r="P5" s="707" t="s">
        <v>832</v>
      </c>
      <c r="R5" s="379"/>
      <c r="S5" s="379"/>
      <c r="AF5" s="707" t="s">
        <v>832</v>
      </c>
    </row>
    <row r="6" spans="1:44" ht="16.5" customHeight="1" thickBot="1" x14ac:dyDescent="0.25">
      <c r="A6" s="550"/>
      <c r="B6" s="548"/>
      <c r="C6" s="549"/>
      <c r="D6" s="549"/>
      <c r="E6" s="548"/>
      <c r="F6" s="548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4" ht="16.5" customHeight="1" thickBot="1" x14ac:dyDescent="0.3">
      <c r="B7" s="5"/>
      <c r="C7"/>
      <c r="D7" s="9"/>
      <c r="E7" s="5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4" ht="11.25" customHeight="1" x14ac:dyDescent="0.2">
      <c r="A8" s="547"/>
      <c r="B8" s="546"/>
      <c r="C8" s="546"/>
      <c r="D8" s="546"/>
      <c r="E8" s="545"/>
      <c r="F8" s="544"/>
      <c r="G8" s="543"/>
      <c r="H8" s="543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4" ht="22.5" customHeight="1" thickBot="1" x14ac:dyDescent="0.25">
      <c r="A9" s="86" t="s">
        <v>723</v>
      </c>
      <c r="B9"/>
      <c r="C9"/>
      <c r="D9" s="10"/>
      <c r="E9"/>
      <c r="F9" s="544"/>
      <c r="G9" s="543"/>
      <c r="H9" s="543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4" ht="23.25" thickBot="1" x14ac:dyDescent="0.25">
      <c r="A10" s="542" t="s">
        <v>729</v>
      </c>
      <c r="B10" s="541" t="s">
        <v>512</v>
      </c>
      <c r="C10" s="541" t="s">
        <v>513</v>
      </c>
      <c r="D10" s="541" t="s">
        <v>250</v>
      </c>
      <c r="E10" s="115" t="s">
        <v>731</v>
      </c>
      <c r="F10" s="541" t="s">
        <v>0</v>
      </c>
      <c r="G10" s="540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4" s="532" customFormat="1" ht="11.25" customHeight="1" thickBot="1" x14ac:dyDescent="0.25">
      <c r="A11" s="539" t="s">
        <v>514</v>
      </c>
      <c r="B11" s="538" t="s">
        <v>515</v>
      </c>
      <c r="C11" s="538" t="s">
        <v>252</v>
      </c>
      <c r="D11" s="538" t="s">
        <v>253</v>
      </c>
      <c r="E11" s="538" t="s">
        <v>516</v>
      </c>
      <c r="F11" s="538" t="s">
        <v>0</v>
      </c>
      <c r="G11" s="538" t="s">
        <v>517</v>
      </c>
      <c r="H11" s="537" t="s">
        <v>725</v>
      </c>
      <c r="I11" s="575" t="s">
        <v>254</v>
      </c>
      <c r="J11" s="533" t="s">
        <v>255</v>
      </c>
      <c r="K11" s="533" t="s">
        <v>256</v>
      </c>
      <c r="L11" s="533" t="s">
        <v>257</v>
      </c>
      <c r="M11" s="533" t="s">
        <v>804</v>
      </c>
      <c r="N11" s="576" t="s">
        <v>827</v>
      </c>
      <c r="O11" s="575" t="s">
        <v>776</v>
      </c>
      <c r="P11" s="533" t="s">
        <v>789</v>
      </c>
      <c r="Q11" s="533" t="s">
        <v>776</v>
      </c>
      <c r="R11" s="533" t="s">
        <v>776</v>
      </c>
      <c r="S11" s="533" t="s">
        <v>789</v>
      </c>
      <c r="T11" s="533" t="s">
        <v>789</v>
      </c>
      <c r="U11" s="533" t="s">
        <v>776</v>
      </c>
      <c r="V11" s="534" t="s">
        <v>777</v>
      </c>
      <c r="W11" s="533" t="s">
        <v>777</v>
      </c>
      <c r="X11" s="533" t="s">
        <v>777</v>
      </c>
      <c r="Y11" s="533" t="s">
        <v>777</v>
      </c>
      <c r="Z11" s="534" t="s">
        <v>775</v>
      </c>
      <c r="AA11" s="533" t="s">
        <v>273</v>
      </c>
      <c r="AB11" s="533" t="s">
        <v>274</v>
      </c>
      <c r="AC11" s="533" t="s">
        <v>803</v>
      </c>
      <c r="AD11" s="579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34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827</v>
      </c>
    </row>
    <row r="12" spans="1:44" ht="14.1" customHeight="1" x14ac:dyDescent="0.2">
      <c r="A12" s="529">
        <v>1</v>
      </c>
      <c r="B12" s="530">
        <v>2330</v>
      </c>
      <c r="C12" s="531">
        <v>691009571</v>
      </c>
      <c r="D12" s="530">
        <v>71294511</v>
      </c>
      <c r="E12" s="528" t="s">
        <v>518</v>
      </c>
      <c r="F12" s="529">
        <v>3233</v>
      </c>
      <c r="G12" s="528" t="s">
        <v>283</v>
      </c>
      <c r="H12" s="527" t="s">
        <v>263</v>
      </c>
      <c r="I12" s="585">
        <f>SUM(J12:M12)</f>
        <v>7602596</v>
      </c>
      <c r="J12" s="524">
        <v>5639908</v>
      </c>
      <c r="K12" s="434">
        <f>ROUND(J12*33.8%,0)</f>
        <v>1906289</v>
      </c>
      <c r="L12" s="434">
        <f>ROUND(J12*1%,0)</f>
        <v>56399</v>
      </c>
      <c r="M12" s="434">
        <v>0</v>
      </c>
      <c r="N12" s="884">
        <v>9.5399999999999991</v>
      </c>
      <c r="O12" s="638">
        <f>V12*-1</f>
        <v>-600000</v>
      </c>
      <c r="P12" s="526">
        <v>0</v>
      </c>
      <c r="Q12" s="526">
        <v>0</v>
      </c>
      <c r="R12" s="526">
        <v>0</v>
      </c>
      <c r="S12" s="526">
        <v>0</v>
      </c>
      <c r="T12" s="526">
        <v>0</v>
      </c>
      <c r="U12" s="526">
        <f>O12+P12+Q12+R12+S12+T12</f>
        <v>-600000</v>
      </c>
      <c r="V12" s="526">
        <v>600000</v>
      </c>
      <c r="W12" s="526">
        <v>0</v>
      </c>
      <c r="X12" s="526">
        <v>0</v>
      </c>
      <c r="Y12" s="526">
        <f>V12+W12+X12</f>
        <v>600000</v>
      </c>
      <c r="Z12" s="526">
        <f>U12+Y12</f>
        <v>0</v>
      </c>
      <c r="AA12" s="639">
        <f>ROUND((U12+Y12)*33.8%,0)</f>
        <v>0</v>
      </c>
      <c r="AB12" s="639">
        <f>ROUND(U12*1%,0)</f>
        <v>-6000</v>
      </c>
      <c r="AC12" s="434">
        <v>0</v>
      </c>
      <c r="AD12" s="890">
        <f>Z12+AA12+AB12+AC12</f>
        <v>-6000</v>
      </c>
      <c r="AE12" s="636">
        <v>-1.03</v>
      </c>
      <c r="AF12" s="636">
        <v>0</v>
      </c>
      <c r="AG12" s="525">
        <v>0</v>
      </c>
      <c r="AH12" s="525">
        <v>0</v>
      </c>
      <c r="AI12" s="525">
        <v>0</v>
      </c>
      <c r="AJ12" s="525">
        <v>0</v>
      </c>
      <c r="AK12" s="625">
        <f>SUM(AE12:AJ12)</f>
        <v>-1.03</v>
      </c>
      <c r="AL12" s="600">
        <f>I12+AD12</f>
        <v>7596596</v>
      </c>
      <c r="AM12" s="578">
        <f>J12+U12</f>
        <v>5039908</v>
      </c>
      <c r="AN12" s="578">
        <f>Y12</f>
        <v>600000</v>
      </c>
      <c r="AO12" s="578">
        <f>K12+AA12</f>
        <v>1906289</v>
      </c>
      <c r="AP12" s="578">
        <f>L12+AB12</f>
        <v>50399</v>
      </c>
      <c r="AQ12" s="578">
        <f>M12+AC12</f>
        <v>0</v>
      </c>
      <c r="AR12" s="695">
        <f>N12+AK12</f>
        <v>8.51</v>
      </c>
    </row>
    <row r="13" spans="1:44" ht="14.1" customHeight="1" x14ac:dyDescent="0.2">
      <c r="A13" s="510">
        <v>1</v>
      </c>
      <c r="B13" s="508">
        <v>2330</v>
      </c>
      <c r="C13" s="509">
        <v>691009571</v>
      </c>
      <c r="D13" s="508">
        <v>71294511</v>
      </c>
      <c r="E13" s="506" t="s">
        <v>519</v>
      </c>
      <c r="F13" s="510"/>
      <c r="G13" s="506"/>
      <c r="H13" s="505"/>
      <c r="I13" s="629">
        <f t="shared" ref="I13:N13" si="0">SUM(I12)</f>
        <v>7602596</v>
      </c>
      <c r="J13" s="504">
        <f t="shared" si="0"/>
        <v>5639908</v>
      </c>
      <c r="K13" s="504">
        <f t="shared" si="0"/>
        <v>1906289</v>
      </c>
      <c r="L13" s="504">
        <f t="shared" si="0"/>
        <v>56399</v>
      </c>
      <c r="M13" s="504">
        <f t="shared" si="0"/>
        <v>0</v>
      </c>
      <c r="N13" s="885">
        <f t="shared" si="0"/>
        <v>9.5399999999999991</v>
      </c>
      <c r="O13" s="629">
        <f t="shared" ref="O13:AN13" si="1">SUM(O12)</f>
        <v>-600000</v>
      </c>
      <c r="P13" s="503">
        <f t="shared" si="1"/>
        <v>0</v>
      </c>
      <c r="Q13" s="503">
        <f t="shared" si="1"/>
        <v>0</v>
      </c>
      <c r="R13" s="503">
        <f t="shared" si="1"/>
        <v>0</v>
      </c>
      <c r="S13" s="503">
        <f t="shared" si="1"/>
        <v>0</v>
      </c>
      <c r="T13" s="503">
        <f t="shared" si="1"/>
        <v>0</v>
      </c>
      <c r="U13" s="503">
        <f t="shared" si="1"/>
        <v>-600000</v>
      </c>
      <c r="V13" s="503">
        <f t="shared" si="1"/>
        <v>600000</v>
      </c>
      <c r="W13" s="503">
        <f t="shared" si="1"/>
        <v>0</v>
      </c>
      <c r="X13" s="503">
        <f t="shared" si="1"/>
        <v>0</v>
      </c>
      <c r="Y13" s="503">
        <f t="shared" si="1"/>
        <v>600000</v>
      </c>
      <c r="Z13" s="503">
        <f t="shared" si="1"/>
        <v>0</v>
      </c>
      <c r="AA13" s="503">
        <f t="shared" si="1"/>
        <v>0</v>
      </c>
      <c r="AB13" s="503">
        <f t="shared" si="1"/>
        <v>-6000</v>
      </c>
      <c r="AC13" s="503">
        <f t="shared" si="1"/>
        <v>0</v>
      </c>
      <c r="AD13" s="891">
        <f t="shared" si="1"/>
        <v>-6000</v>
      </c>
      <c r="AE13" s="701">
        <f t="shared" si="1"/>
        <v>-1.03</v>
      </c>
      <c r="AF13" s="701">
        <f t="shared" si="1"/>
        <v>0</v>
      </c>
      <c r="AG13" s="502">
        <f t="shared" si="1"/>
        <v>0</v>
      </c>
      <c r="AH13" s="502">
        <f t="shared" si="1"/>
        <v>0</v>
      </c>
      <c r="AI13" s="502">
        <f t="shared" si="1"/>
        <v>0</v>
      </c>
      <c r="AJ13" s="502">
        <f t="shared" si="1"/>
        <v>0</v>
      </c>
      <c r="AK13" s="630">
        <f t="shared" si="1"/>
        <v>-1.03</v>
      </c>
      <c r="AL13" s="629">
        <f t="shared" si="1"/>
        <v>7596596</v>
      </c>
      <c r="AM13" s="503">
        <f t="shared" si="1"/>
        <v>5039908</v>
      </c>
      <c r="AN13" s="552">
        <f t="shared" si="1"/>
        <v>600000</v>
      </c>
      <c r="AO13" s="503">
        <f t="shared" ref="AO13:AR13" si="2">SUM(AO12)</f>
        <v>1906289</v>
      </c>
      <c r="AP13" s="503">
        <f t="shared" si="2"/>
        <v>50399</v>
      </c>
      <c r="AQ13" s="503">
        <f t="shared" si="2"/>
        <v>0</v>
      </c>
      <c r="AR13" s="630">
        <f t="shared" si="2"/>
        <v>8.51</v>
      </c>
    </row>
    <row r="14" spans="1:44" ht="14.1" customHeight="1" x14ac:dyDescent="0.2">
      <c r="A14" s="499">
        <v>2</v>
      </c>
      <c r="B14" s="512">
        <v>2415</v>
      </c>
      <c r="C14" s="513">
        <v>600079465</v>
      </c>
      <c r="D14" s="512">
        <v>72742186</v>
      </c>
      <c r="E14" s="511" t="s">
        <v>520</v>
      </c>
      <c r="F14" s="499">
        <v>3111</v>
      </c>
      <c r="G14" s="511" t="s">
        <v>277</v>
      </c>
      <c r="H14" s="495" t="s">
        <v>262</v>
      </c>
      <c r="I14" s="627">
        <f t="shared" ref="I14:I76" si="3">SUM(J14:M14)</f>
        <v>7643316</v>
      </c>
      <c r="J14" s="14">
        <v>5670116</v>
      </c>
      <c r="K14" s="14">
        <v>1916499</v>
      </c>
      <c r="L14" s="14">
        <v>56701</v>
      </c>
      <c r="M14" s="14">
        <v>0</v>
      </c>
      <c r="N14" s="121">
        <v>9.2581000000000007</v>
      </c>
      <c r="O14" s="696">
        <f t="shared" ref="O14:O76" si="4">V14*-1</f>
        <v>-60000</v>
      </c>
      <c r="P14" s="492">
        <v>0</v>
      </c>
      <c r="Q14" s="492">
        <v>0</v>
      </c>
      <c r="R14" s="492">
        <v>0</v>
      </c>
      <c r="S14" s="492">
        <v>0</v>
      </c>
      <c r="T14" s="492">
        <v>0</v>
      </c>
      <c r="U14" s="492">
        <f>O14+P14+Q14+R14+S14+T14</f>
        <v>-60000</v>
      </c>
      <c r="V14" s="492">
        <v>60000</v>
      </c>
      <c r="W14" s="492">
        <v>0</v>
      </c>
      <c r="X14" s="492">
        <v>0</v>
      </c>
      <c r="Y14" s="492">
        <f t="shared" ref="Y14:Y16" si="5">V14+W14+X14</f>
        <v>60000</v>
      </c>
      <c r="Z14" s="492">
        <f t="shared" ref="Z14:Z16" si="6">U14+Y14</f>
        <v>0</v>
      </c>
      <c r="AA14" s="494">
        <f t="shared" ref="AA14:AA16" si="7">ROUND((U14+Y14)*33.8%,0)</f>
        <v>0</v>
      </c>
      <c r="AB14" s="494">
        <f>ROUND(U14*1%,0)</f>
        <v>-600</v>
      </c>
      <c r="AC14" s="14">
        <v>0</v>
      </c>
      <c r="AD14" s="892">
        <f t="shared" ref="AD14:AD76" si="8">Z14+AA14+AB14+AC14</f>
        <v>-600</v>
      </c>
      <c r="AE14" s="702">
        <v>-7.0000000000000007E-2</v>
      </c>
      <c r="AF14" s="702">
        <v>0</v>
      </c>
      <c r="AG14" s="491">
        <v>0</v>
      </c>
      <c r="AH14" s="491">
        <v>0</v>
      </c>
      <c r="AI14" s="491">
        <v>0</v>
      </c>
      <c r="AJ14" s="491">
        <v>0</v>
      </c>
      <c r="AK14" s="626">
        <f>SUM(AE14:AJ14)</f>
        <v>-7.0000000000000007E-2</v>
      </c>
      <c r="AL14" s="696">
        <f>I14+AD14</f>
        <v>7642716</v>
      </c>
      <c r="AM14" s="492">
        <f>J14+U14</f>
        <v>5610116</v>
      </c>
      <c r="AN14" s="492">
        <f>Y14</f>
        <v>60000</v>
      </c>
      <c r="AO14" s="492">
        <f t="shared" ref="AO14:AQ16" si="9">K14+AA14</f>
        <v>1916499</v>
      </c>
      <c r="AP14" s="492">
        <f t="shared" si="9"/>
        <v>56101</v>
      </c>
      <c r="AQ14" s="578">
        <f t="shared" si="9"/>
        <v>0</v>
      </c>
      <c r="AR14" s="626">
        <f>N14+AK14</f>
        <v>9.1881000000000004</v>
      </c>
    </row>
    <row r="15" spans="1:44" ht="14.1" customHeight="1" x14ac:dyDescent="0.2">
      <c r="A15" s="499">
        <v>2</v>
      </c>
      <c r="B15" s="512">
        <v>2415</v>
      </c>
      <c r="C15" s="513">
        <v>600079465</v>
      </c>
      <c r="D15" s="512">
        <v>72742186</v>
      </c>
      <c r="E15" s="511" t="s">
        <v>520</v>
      </c>
      <c r="F15" s="499">
        <v>3111</v>
      </c>
      <c r="G15" s="39" t="s">
        <v>279</v>
      </c>
      <c r="H15" s="495" t="s">
        <v>262</v>
      </c>
      <c r="I15" s="627">
        <f t="shared" si="3"/>
        <v>505484</v>
      </c>
      <c r="J15" s="14">
        <v>374988</v>
      </c>
      <c r="K15" s="14">
        <v>126746</v>
      </c>
      <c r="L15" s="14">
        <v>3750</v>
      </c>
      <c r="M15" s="14">
        <v>0</v>
      </c>
      <c r="N15" s="121">
        <v>1</v>
      </c>
      <c r="O15" s="696">
        <f t="shared" si="4"/>
        <v>-20000</v>
      </c>
      <c r="P15" s="492">
        <v>0</v>
      </c>
      <c r="Q15" s="492">
        <v>0</v>
      </c>
      <c r="R15" s="492">
        <v>0</v>
      </c>
      <c r="S15" s="492">
        <v>0</v>
      </c>
      <c r="T15" s="492">
        <v>0</v>
      </c>
      <c r="U15" s="492">
        <f>O15+P15+Q15+R15+S15+T15</f>
        <v>-20000</v>
      </c>
      <c r="V15" s="492">
        <v>20000</v>
      </c>
      <c r="W15" s="492">
        <v>0</v>
      </c>
      <c r="X15" s="492">
        <v>0</v>
      </c>
      <c r="Y15" s="492">
        <f t="shared" si="5"/>
        <v>20000</v>
      </c>
      <c r="Z15" s="492">
        <f t="shared" si="6"/>
        <v>0</v>
      </c>
      <c r="AA15" s="494">
        <f t="shared" si="7"/>
        <v>0</v>
      </c>
      <c r="AB15" s="494">
        <f>ROUND(U15*1%,0)</f>
        <v>-200</v>
      </c>
      <c r="AC15" s="14">
        <v>0</v>
      </c>
      <c r="AD15" s="892">
        <f t="shared" si="8"/>
        <v>-200</v>
      </c>
      <c r="AE15" s="702">
        <v>0</v>
      </c>
      <c r="AF15" s="702">
        <v>0</v>
      </c>
      <c r="AG15" s="491">
        <v>0</v>
      </c>
      <c r="AH15" s="491">
        <v>0</v>
      </c>
      <c r="AI15" s="491">
        <v>0</v>
      </c>
      <c r="AJ15" s="491">
        <v>0</v>
      </c>
      <c r="AK15" s="626">
        <f>SUM(AE15:AJ15)</f>
        <v>0</v>
      </c>
      <c r="AL15" s="696">
        <f>I15+AD15</f>
        <v>505284</v>
      </c>
      <c r="AM15" s="492">
        <f>J15+U15</f>
        <v>354988</v>
      </c>
      <c r="AN15" s="492">
        <f>Y15</f>
        <v>20000</v>
      </c>
      <c r="AO15" s="492">
        <f t="shared" si="9"/>
        <v>126746</v>
      </c>
      <c r="AP15" s="492">
        <f t="shared" si="9"/>
        <v>3550</v>
      </c>
      <c r="AQ15" s="578">
        <f t="shared" si="9"/>
        <v>0</v>
      </c>
      <c r="AR15" s="626">
        <f>N15+AK15</f>
        <v>1</v>
      </c>
    </row>
    <row r="16" spans="1:44" ht="14.1" customHeight="1" x14ac:dyDescent="0.2">
      <c r="A16" s="499">
        <v>2</v>
      </c>
      <c r="B16" s="512">
        <v>2415</v>
      </c>
      <c r="C16" s="513">
        <v>600079465</v>
      </c>
      <c r="D16" s="512">
        <v>72742186</v>
      </c>
      <c r="E16" s="511" t="s">
        <v>520</v>
      </c>
      <c r="F16" s="499">
        <v>3111</v>
      </c>
      <c r="G16" s="511" t="s">
        <v>278</v>
      </c>
      <c r="H16" s="495" t="s">
        <v>263</v>
      </c>
      <c r="I16" s="627">
        <f t="shared" si="3"/>
        <v>0</v>
      </c>
      <c r="J16" s="490">
        <v>0</v>
      </c>
      <c r="K16" s="14">
        <v>0</v>
      </c>
      <c r="L16" s="14">
        <v>0</v>
      </c>
      <c r="M16" s="14">
        <v>0</v>
      </c>
      <c r="N16" s="682">
        <v>0</v>
      </c>
      <c r="O16" s="696">
        <f t="shared" si="4"/>
        <v>-10000</v>
      </c>
      <c r="P16" s="490">
        <v>1080196</v>
      </c>
      <c r="Q16" s="492">
        <v>0</v>
      </c>
      <c r="R16" s="492">
        <v>0</v>
      </c>
      <c r="S16" s="492">
        <v>0</v>
      </c>
      <c r="T16" s="492">
        <v>0</v>
      </c>
      <c r="U16" s="492">
        <f>O16+P16+Q16+R16+S16+T16</f>
        <v>1070196</v>
      </c>
      <c r="V16" s="492">
        <v>10000</v>
      </c>
      <c r="W16" s="492">
        <v>0</v>
      </c>
      <c r="X16" s="492">
        <v>0</v>
      </c>
      <c r="Y16" s="492">
        <f t="shared" si="5"/>
        <v>10000</v>
      </c>
      <c r="Z16" s="492">
        <f t="shared" si="6"/>
        <v>1080196</v>
      </c>
      <c r="AA16" s="494">
        <f t="shared" si="7"/>
        <v>365106</v>
      </c>
      <c r="AB16" s="494">
        <f>ROUND(U16*1%,0)</f>
        <v>10702</v>
      </c>
      <c r="AC16" s="14">
        <v>0</v>
      </c>
      <c r="AD16" s="892">
        <f t="shared" si="8"/>
        <v>1456004</v>
      </c>
      <c r="AE16" s="702">
        <v>0</v>
      </c>
      <c r="AF16" s="121">
        <v>2.5</v>
      </c>
      <c r="AG16" s="491">
        <v>0</v>
      </c>
      <c r="AH16" s="491">
        <v>0</v>
      </c>
      <c r="AI16" s="491">
        <v>0</v>
      </c>
      <c r="AJ16" s="491">
        <v>0</v>
      </c>
      <c r="AK16" s="626">
        <f>SUM(AE16:AJ16)</f>
        <v>2.5</v>
      </c>
      <c r="AL16" s="696">
        <f>I16+AD16</f>
        <v>1456004</v>
      </c>
      <c r="AM16" s="492">
        <f>J16+U16</f>
        <v>1070196</v>
      </c>
      <c r="AN16" s="492">
        <f>Y16</f>
        <v>10000</v>
      </c>
      <c r="AO16" s="492">
        <f t="shared" si="9"/>
        <v>365106</v>
      </c>
      <c r="AP16" s="492">
        <f t="shared" si="9"/>
        <v>10702</v>
      </c>
      <c r="AQ16" s="578">
        <f t="shared" si="9"/>
        <v>0</v>
      </c>
      <c r="AR16" s="626">
        <f>N16+AK16</f>
        <v>2.5</v>
      </c>
    </row>
    <row r="17" spans="1:44" ht="14.1" customHeight="1" x14ac:dyDescent="0.2">
      <c r="A17" s="510">
        <v>2</v>
      </c>
      <c r="B17" s="508">
        <v>2415</v>
      </c>
      <c r="C17" s="509">
        <v>600079465</v>
      </c>
      <c r="D17" s="508">
        <v>72742186</v>
      </c>
      <c r="E17" s="506" t="s">
        <v>521</v>
      </c>
      <c r="F17" s="510"/>
      <c r="G17" s="506"/>
      <c r="H17" s="505"/>
      <c r="I17" s="629">
        <f t="shared" ref="I17:N17" si="10">SUM(I14:I16)</f>
        <v>8148800</v>
      </c>
      <c r="J17" s="504">
        <f t="shared" si="10"/>
        <v>6045104</v>
      </c>
      <c r="K17" s="504">
        <f t="shared" si="10"/>
        <v>2043245</v>
      </c>
      <c r="L17" s="504">
        <f t="shared" si="10"/>
        <v>60451</v>
      </c>
      <c r="M17" s="504">
        <f t="shared" si="10"/>
        <v>0</v>
      </c>
      <c r="N17" s="885">
        <f t="shared" si="10"/>
        <v>10.258100000000001</v>
      </c>
      <c r="O17" s="629">
        <f t="shared" ref="O17:AR17" si="11">SUM(O14:O16)</f>
        <v>-90000</v>
      </c>
      <c r="P17" s="503">
        <f t="shared" si="11"/>
        <v>1080196</v>
      </c>
      <c r="Q17" s="503">
        <f t="shared" si="11"/>
        <v>0</v>
      </c>
      <c r="R17" s="503">
        <f t="shared" si="11"/>
        <v>0</v>
      </c>
      <c r="S17" s="503">
        <f t="shared" si="11"/>
        <v>0</v>
      </c>
      <c r="T17" s="503">
        <f t="shared" si="11"/>
        <v>0</v>
      </c>
      <c r="U17" s="503">
        <f t="shared" si="11"/>
        <v>990196</v>
      </c>
      <c r="V17" s="503">
        <f t="shared" si="11"/>
        <v>90000</v>
      </c>
      <c r="W17" s="503">
        <f t="shared" si="11"/>
        <v>0</v>
      </c>
      <c r="X17" s="503">
        <f t="shared" si="11"/>
        <v>0</v>
      </c>
      <c r="Y17" s="503">
        <f t="shared" si="11"/>
        <v>90000</v>
      </c>
      <c r="Z17" s="503">
        <f t="shared" si="11"/>
        <v>1080196</v>
      </c>
      <c r="AA17" s="503">
        <f t="shared" si="11"/>
        <v>365106</v>
      </c>
      <c r="AB17" s="503">
        <f t="shared" si="11"/>
        <v>9902</v>
      </c>
      <c r="AC17" s="503">
        <f t="shared" si="11"/>
        <v>0</v>
      </c>
      <c r="AD17" s="891">
        <f t="shared" si="11"/>
        <v>1455204</v>
      </c>
      <c r="AE17" s="701">
        <f t="shared" si="11"/>
        <v>-7.0000000000000007E-2</v>
      </c>
      <c r="AF17" s="701">
        <f t="shared" si="11"/>
        <v>2.5</v>
      </c>
      <c r="AG17" s="502">
        <f t="shared" si="11"/>
        <v>0</v>
      </c>
      <c r="AH17" s="502">
        <f t="shared" si="11"/>
        <v>0</v>
      </c>
      <c r="AI17" s="502">
        <f t="shared" si="11"/>
        <v>0</v>
      </c>
      <c r="AJ17" s="502">
        <f t="shared" si="11"/>
        <v>0</v>
      </c>
      <c r="AK17" s="630">
        <f t="shared" si="11"/>
        <v>2.4300000000000002</v>
      </c>
      <c r="AL17" s="629">
        <f t="shared" si="11"/>
        <v>9604004</v>
      </c>
      <c r="AM17" s="503">
        <f t="shared" si="11"/>
        <v>7035300</v>
      </c>
      <c r="AN17" s="552">
        <f t="shared" si="11"/>
        <v>90000</v>
      </c>
      <c r="AO17" s="503">
        <f t="shared" si="11"/>
        <v>2408351</v>
      </c>
      <c r="AP17" s="503">
        <f t="shared" si="11"/>
        <v>70353</v>
      </c>
      <c r="AQ17" s="503">
        <f t="shared" si="11"/>
        <v>0</v>
      </c>
      <c r="AR17" s="630">
        <f t="shared" si="11"/>
        <v>12.6881</v>
      </c>
    </row>
    <row r="18" spans="1:44" ht="14.1" customHeight="1" x14ac:dyDescent="0.2">
      <c r="A18" s="499">
        <v>3</v>
      </c>
      <c r="B18" s="512">
        <v>2442</v>
      </c>
      <c r="C18" s="513">
        <v>600079066</v>
      </c>
      <c r="D18" s="512">
        <v>72742101</v>
      </c>
      <c r="E18" s="511" t="s">
        <v>522</v>
      </c>
      <c r="F18" s="499">
        <v>3111</v>
      </c>
      <c r="G18" s="511" t="s">
        <v>277</v>
      </c>
      <c r="H18" s="495" t="s">
        <v>262</v>
      </c>
      <c r="I18" s="627">
        <f t="shared" si="3"/>
        <v>8103348</v>
      </c>
      <c r="J18" s="14">
        <v>6011386</v>
      </c>
      <c r="K18" s="14">
        <v>2031848</v>
      </c>
      <c r="L18" s="14">
        <v>60114</v>
      </c>
      <c r="M18" s="14">
        <v>0</v>
      </c>
      <c r="N18" s="121">
        <v>10</v>
      </c>
      <c r="O18" s="696">
        <f t="shared" si="4"/>
        <v>0</v>
      </c>
      <c r="P18" s="492">
        <v>0</v>
      </c>
      <c r="Q18" s="492">
        <v>0</v>
      </c>
      <c r="R18" s="492">
        <v>0</v>
      </c>
      <c r="S18" s="492">
        <v>0</v>
      </c>
      <c r="T18" s="492">
        <v>0</v>
      </c>
      <c r="U18" s="492">
        <f>O18+P18+Q18+R18+S18+T18</f>
        <v>0</v>
      </c>
      <c r="V18" s="492">
        <v>0</v>
      </c>
      <c r="W18" s="492">
        <v>0</v>
      </c>
      <c r="X18" s="492">
        <v>0</v>
      </c>
      <c r="Y18" s="492">
        <f t="shared" ref="Y18:Y19" si="12">V18+W18+X18</f>
        <v>0</v>
      </c>
      <c r="Z18" s="492">
        <f t="shared" ref="Z18:Z19" si="13">U18+Y18</f>
        <v>0</v>
      </c>
      <c r="AA18" s="494">
        <f t="shared" ref="AA18:AA19" si="14">ROUND((U18+Y18)*33.8%,0)</f>
        <v>0</v>
      </c>
      <c r="AB18" s="494">
        <f>ROUND(U18*1%,0)</f>
        <v>0</v>
      </c>
      <c r="AC18" s="14">
        <v>0</v>
      </c>
      <c r="AD18" s="892">
        <f t="shared" si="8"/>
        <v>0</v>
      </c>
      <c r="AE18" s="702">
        <v>0</v>
      </c>
      <c r="AF18" s="702">
        <v>0</v>
      </c>
      <c r="AG18" s="491">
        <v>0</v>
      </c>
      <c r="AH18" s="491">
        <v>0</v>
      </c>
      <c r="AI18" s="491">
        <v>0</v>
      </c>
      <c r="AJ18" s="491">
        <v>0</v>
      </c>
      <c r="AK18" s="626">
        <f>SUM(AE18:AJ18)</f>
        <v>0</v>
      </c>
      <c r="AL18" s="696">
        <f>I18+AD18</f>
        <v>8103348</v>
      </c>
      <c r="AM18" s="492">
        <f>J18+U18</f>
        <v>6011386</v>
      </c>
      <c r="AN18" s="492">
        <f>Y18</f>
        <v>0</v>
      </c>
      <c r="AO18" s="492">
        <f t="shared" ref="AO18:AQ19" si="15">K18+AA18</f>
        <v>2031848</v>
      </c>
      <c r="AP18" s="492">
        <f t="shared" si="15"/>
        <v>60114</v>
      </c>
      <c r="AQ18" s="578">
        <f t="shared" si="15"/>
        <v>0</v>
      </c>
      <c r="AR18" s="626">
        <f>N18+AK18</f>
        <v>10</v>
      </c>
    </row>
    <row r="19" spans="1:44" ht="14.1" customHeight="1" x14ac:dyDescent="0.2">
      <c r="A19" s="499">
        <v>3</v>
      </c>
      <c r="B19" s="512">
        <v>2442</v>
      </c>
      <c r="C19" s="513">
        <v>600079066</v>
      </c>
      <c r="D19" s="512">
        <v>72742101</v>
      </c>
      <c r="E19" s="511" t="s">
        <v>522</v>
      </c>
      <c r="F19" s="499">
        <v>3111</v>
      </c>
      <c r="G19" s="514" t="s">
        <v>278</v>
      </c>
      <c r="H19" s="495" t="s">
        <v>263</v>
      </c>
      <c r="I19" s="627">
        <f t="shared" si="3"/>
        <v>0</v>
      </c>
      <c r="J19" s="490">
        <v>0</v>
      </c>
      <c r="K19" s="14">
        <v>0</v>
      </c>
      <c r="L19" s="14">
        <v>0</v>
      </c>
      <c r="M19" s="14">
        <v>0</v>
      </c>
      <c r="N19" s="682">
        <v>0</v>
      </c>
      <c r="O19" s="696">
        <f t="shared" si="4"/>
        <v>0</v>
      </c>
      <c r="P19" s="490">
        <v>396847</v>
      </c>
      <c r="Q19" s="492">
        <v>0</v>
      </c>
      <c r="R19" s="492">
        <v>0</v>
      </c>
      <c r="S19" s="492">
        <v>0</v>
      </c>
      <c r="T19" s="492">
        <v>0</v>
      </c>
      <c r="U19" s="492">
        <f>O19+P19+Q19+R19+S19+T19</f>
        <v>396847</v>
      </c>
      <c r="V19" s="492">
        <v>0</v>
      </c>
      <c r="W19" s="492">
        <v>0</v>
      </c>
      <c r="X19" s="492">
        <v>0</v>
      </c>
      <c r="Y19" s="492">
        <f t="shared" si="12"/>
        <v>0</v>
      </c>
      <c r="Z19" s="492">
        <f t="shared" si="13"/>
        <v>396847</v>
      </c>
      <c r="AA19" s="494">
        <f t="shared" si="14"/>
        <v>134134</v>
      </c>
      <c r="AB19" s="494">
        <f>ROUND(U19*1%,0)</f>
        <v>3968</v>
      </c>
      <c r="AC19" s="14">
        <v>0</v>
      </c>
      <c r="AD19" s="892">
        <f t="shared" si="8"/>
        <v>534949</v>
      </c>
      <c r="AE19" s="702">
        <v>0</v>
      </c>
      <c r="AF19" s="121">
        <v>1</v>
      </c>
      <c r="AG19" s="491">
        <v>0</v>
      </c>
      <c r="AH19" s="491">
        <v>0</v>
      </c>
      <c r="AI19" s="491">
        <v>0</v>
      </c>
      <c r="AJ19" s="491">
        <v>0</v>
      </c>
      <c r="AK19" s="626">
        <f>SUM(AE19:AJ19)</f>
        <v>1</v>
      </c>
      <c r="AL19" s="696">
        <f>I19+AD19</f>
        <v>534949</v>
      </c>
      <c r="AM19" s="492">
        <f>J19+U19</f>
        <v>396847</v>
      </c>
      <c r="AN19" s="492">
        <f>Y19</f>
        <v>0</v>
      </c>
      <c r="AO19" s="492">
        <f t="shared" si="15"/>
        <v>134134</v>
      </c>
      <c r="AP19" s="492">
        <f t="shared" si="15"/>
        <v>3968</v>
      </c>
      <c r="AQ19" s="578">
        <f t="shared" si="15"/>
        <v>0</v>
      </c>
      <c r="AR19" s="626">
        <f>N19+AK19</f>
        <v>1</v>
      </c>
    </row>
    <row r="20" spans="1:44" ht="14.1" customHeight="1" x14ac:dyDescent="0.2">
      <c r="A20" s="510">
        <v>3</v>
      </c>
      <c r="B20" s="508">
        <v>2442</v>
      </c>
      <c r="C20" s="509">
        <v>600079066</v>
      </c>
      <c r="D20" s="508">
        <v>72742101</v>
      </c>
      <c r="E20" s="506" t="s">
        <v>523</v>
      </c>
      <c r="F20" s="510"/>
      <c r="G20" s="506"/>
      <c r="H20" s="505"/>
      <c r="I20" s="629">
        <f t="shared" ref="I20:N20" si="16">SUM(I18:I19)</f>
        <v>8103348</v>
      </c>
      <c r="J20" s="504">
        <f t="shared" si="16"/>
        <v>6011386</v>
      </c>
      <c r="K20" s="504">
        <f t="shared" si="16"/>
        <v>2031848</v>
      </c>
      <c r="L20" s="504">
        <f t="shared" si="16"/>
        <v>60114</v>
      </c>
      <c r="M20" s="504">
        <f t="shared" si="16"/>
        <v>0</v>
      </c>
      <c r="N20" s="885">
        <f t="shared" si="16"/>
        <v>10</v>
      </c>
      <c r="O20" s="629">
        <f t="shared" ref="O20:AR20" si="17">SUM(O18:O19)</f>
        <v>0</v>
      </c>
      <c r="P20" s="503">
        <f t="shared" si="17"/>
        <v>396847</v>
      </c>
      <c r="Q20" s="503">
        <f t="shared" si="17"/>
        <v>0</v>
      </c>
      <c r="R20" s="503">
        <f t="shared" si="17"/>
        <v>0</v>
      </c>
      <c r="S20" s="503">
        <f t="shared" si="17"/>
        <v>0</v>
      </c>
      <c r="T20" s="503">
        <f t="shared" si="17"/>
        <v>0</v>
      </c>
      <c r="U20" s="503">
        <f t="shared" si="17"/>
        <v>396847</v>
      </c>
      <c r="V20" s="503">
        <f t="shared" si="17"/>
        <v>0</v>
      </c>
      <c r="W20" s="503">
        <f t="shared" si="17"/>
        <v>0</v>
      </c>
      <c r="X20" s="503">
        <f t="shared" si="17"/>
        <v>0</v>
      </c>
      <c r="Y20" s="503">
        <f t="shared" si="17"/>
        <v>0</v>
      </c>
      <c r="Z20" s="503">
        <f t="shared" si="17"/>
        <v>396847</v>
      </c>
      <c r="AA20" s="503">
        <f t="shared" si="17"/>
        <v>134134</v>
      </c>
      <c r="AB20" s="503">
        <f t="shared" si="17"/>
        <v>3968</v>
      </c>
      <c r="AC20" s="503">
        <f t="shared" si="17"/>
        <v>0</v>
      </c>
      <c r="AD20" s="891">
        <f t="shared" si="17"/>
        <v>534949</v>
      </c>
      <c r="AE20" s="701">
        <f t="shared" si="17"/>
        <v>0</v>
      </c>
      <c r="AF20" s="701">
        <f t="shared" si="17"/>
        <v>1</v>
      </c>
      <c r="AG20" s="502">
        <f t="shared" si="17"/>
        <v>0</v>
      </c>
      <c r="AH20" s="502">
        <f t="shared" si="17"/>
        <v>0</v>
      </c>
      <c r="AI20" s="502">
        <f t="shared" si="17"/>
        <v>0</v>
      </c>
      <c r="AJ20" s="502">
        <f t="shared" si="17"/>
        <v>0</v>
      </c>
      <c r="AK20" s="630">
        <f t="shared" si="17"/>
        <v>1</v>
      </c>
      <c r="AL20" s="629">
        <f t="shared" si="17"/>
        <v>8638297</v>
      </c>
      <c r="AM20" s="503">
        <f t="shared" si="17"/>
        <v>6408233</v>
      </c>
      <c r="AN20" s="552">
        <f t="shared" si="17"/>
        <v>0</v>
      </c>
      <c r="AO20" s="503">
        <f t="shared" si="17"/>
        <v>2165982</v>
      </c>
      <c r="AP20" s="503">
        <f t="shared" si="17"/>
        <v>64082</v>
      </c>
      <c r="AQ20" s="503">
        <f t="shared" si="17"/>
        <v>0</v>
      </c>
      <c r="AR20" s="630">
        <f t="shared" si="17"/>
        <v>11</v>
      </c>
    </row>
    <row r="21" spans="1:44" ht="14.1" customHeight="1" x14ac:dyDescent="0.2">
      <c r="A21" s="499">
        <v>4</v>
      </c>
      <c r="B21" s="512">
        <v>2437</v>
      </c>
      <c r="C21" s="513">
        <v>600079074</v>
      </c>
      <c r="D21" s="512">
        <v>72743221</v>
      </c>
      <c r="E21" s="511" t="s">
        <v>524</v>
      </c>
      <c r="F21" s="499">
        <v>3111</v>
      </c>
      <c r="G21" s="511" t="s">
        <v>277</v>
      </c>
      <c r="H21" s="495" t="s">
        <v>262</v>
      </c>
      <c r="I21" s="627">
        <f t="shared" si="3"/>
        <v>13733741</v>
      </c>
      <c r="J21" s="14">
        <v>10188236</v>
      </c>
      <c r="K21" s="14">
        <v>3443623</v>
      </c>
      <c r="L21" s="14">
        <v>101882</v>
      </c>
      <c r="M21" s="14">
        <v>0</v>
      </c>
      <c r="N21" s="121">
        <v>16.483799999999999</v>
      </c>
      <c r="O21" s="696">
        <f t="shared" si="4"/>
        <v>0</v>
      </c>
      <c r="P21" s="492">
        <v>0</v>
      </c>
      <c r="Q21" s="492">
        <v>0</v>
      </c>
      <c r="R21" s="492">
        <v>0</v>
      </c>
      <c r="S21" s="492">
        <v>0</v>
      </c>
      <c r="T21" s="492">
        <v>0</v>
      </c>
      <c r="U21" s="492">
        <f>O21+P21+Q21+R21+S21+T21</f>
        <v>0</v>
      </c>
      <c r="V21" s="492">
        <v>0</v>
      </c>
      <c r="W21" s="492">
        <v>0</v>
      </c>
      <c r="X21" s="492">
        <v>0</v>
      </c>
      <c r="Y21" s="492">
        <f t="shared" ref="Y21:Y23" si="18">V21+W21+X21</f>
        <v>0</v>
      </c>
      <c r="Z21" s="492">
        <f t="shared" ref="Z21:Z23" si="19">U21+Y21</f>
        <v>0</v>
      </c>
      <c r="AA21" s="494">
        <f t="shared" ref="AA21:AA23" si="20">ROUND((U21+Y21)*33.8%,0)</f>
        <v>0</v>
      </c>
      <c r="AB21" s="494">
        <f>ROUND(U21*1%,0)</f>
        <v>0</v>
      </c>
      <c r="AC21" s="14">
        <v>0</v>
      </c>
      <c r="AD21" s="892">
        <f t="shared" si="8"/>
        <v>0</v>
      </c>
      <c r="AE21" s="702">
        <v>0</v>
      </c>
      <c r="AF21" s="702">
        <v>0</v>
      </c>
      <c r="AG21" s="491">
        <v>0</v>
      </c>
      <c r="AH21" s="491">
        <v>0</v>
      </c>
      <c r="AI21" s="491">
        <v>0</v>
      </c>
      <c r="AJ21" s="491">
        <v>0</v>
      </c>
      <c r="AK21" s="626">
        <f>SUM(AE21:AJ21)</f>
        <v>0</v>
      </c>
      <c r="AL21" s="696">
        <f>I21+AD21</f>
        <v>13733741</v>
      </c>
      <c r="AM21" s="492">
        <f>J21+U21</f>
        <v>10188236</v>
      </c>
      <c r="AN21" s="492">
        <f>Y21</f>
        <v>0</v>
      </c>
      <c r="AO21" s="492">
        <f t="shared" ref="AO21:AQ23" si="21">K21+AA21</f>
        <v>3443623</v>
      </c>
      <c r="AP21" s="492">
        <f t="shared" si="21"/>
        <v>101882</v>
      </c>
      <c r="AQ21" s="578">
        <f t="shared" si="21"/>
        <v>0</v>
      </c>
      <c r="AR21" s="626">
        <f>N21+AK21</f>
        <v>16.483799999999999</v>
      </c>
    </row>
    <row r="22" spans="1:44" ht="14.1" customHeight="1" x14ac:dyDescent="0.2">
      <c r="A22" s="499">
        <v>4</v>
      </c>
      <c r="B22" s="512">
        <v>2437</v>
      </c>
      <c r="C22" s="513">
        <v>600079074</v>
      </c>
      <c r="D22" s="512">
        <v>72743221</v>
      </c>
      <c r="E22" s="511" t="s">
        <v>524</v>
      </c>
      <c r="F22" s="499">
        <v>3111</v>
      </c>
      <c r="G22" s="39" t="s">
        <v>279</v>
      </c>
      <c r="H22" s="495" t="s">
        <v>262</v>
      </c>
      <c r="I22" s="627">
        <f t="shared" si="3"/>
        <v>1161405</v>
      </c>
      <c r="J22" s="14">
        <v>861576</v>
      </c>
      <c r="K22" s="14">
        <v>291213</v>
      </c>
      <c r="L22" s="14">
        <v>8616</v>
      </c>
      <c r="M22" s="14">
        <v>0</v>
      </c>
      <c r="N22" s="121">
        <v>2</v>
      </c>
      <c r="O22" s="696">
        <f t="shared" si="4"/>
        <v>0</v>
      </c>
      <c r="P22" s="492">
        <v>0</v>
      </c>
      <c r="Q22" s="492">
        <v>0</v>
      </c>
      <c r="R22" s="492">
        <v>0</v>
      </c>
      <c r="S22" s="492">
        <v>0</v>
      </c>
      <c r="T22" s="492">
        <v>0</v>
      </c>
      <c r="U22" s="492">
        <f>O22+P22+Q22+R22+S22+T22</f>
        <v>0</v>
      </c>
      <c r="V22" s="492">
        <v>0</v>
      </c>
      <c r="W22" s="492">
        <v>0</v>
      </c>
      <c r="X22" s="492">
        <v>0</v>
      </c>
      <c r="Y22" s="492">
        <f t="shared" si="18"/>
        <v>0</v>
      </c>
      <c r="Z22" s="492">
        <f t="shared" si="19"/>
        <v>0</v>
      </c>
      <c r="AA22" s="494">
        <f t="shared" si="20"/>
        <v>0</v>
      </c>
      <c r="AB22" s="494">
        <f>ROUND(U22*1%,0)</f>
        <v>0</v>
      </c>
      <c r="AC22" s="14">
        <v>0</v>
      </c>
      <c r="AD22" s="892">
        <f t="shared" si="8"/>
        <v>0</v>
      </c>
      <c r="AE22" s="702">
        <v>0</v>
      </c>
      <c r="AF22" s="702">
        <v>0</v>
      </c>
      <c r="AG22" s="491">
        <v>0</v>
      </c>
      <c r="AH22" s="491">
        <v>0</v>
      </c>
      <c r="AI22" s="491">
        <v>0</v>
      </c>
      <c r="AJ22" s="491">
        <v>0</v>
      </c>
      <c r="AK22" s="626">
        <f>SUM(AE22:AJ22)</f>
        <v>0</v>
      </c>
      <c r="AL22" s="696">
        <f>I22+AD22</f>
        <v>1161405</v>
      </c>
      <c r="AM22" s="492">
        <f>J22+U22</f>
        <v>861576</v>
      </c>
      <c r="AN22" s="492">
        <f>Y22</f>
        <v>0</v>
      </c>
      <c r="AO22" s="492">
        <f t="shared" si="21"/>
        <v>291213</v>
      </c>
      <c r="AP22" s="492">
        <f t="shared" si="21"/>
        <v>8616</v>
      </c>
      <c r="AQ22" s="578">
        <f t="shared" si="21"/>
        <v>0</v>
      </c>
      <c r="AR22" s="626">
        <f>N22+AK22</f>
        <v>2</v>
      </c>
    </row>
    <row r="23" spans="1:44" ht="14.1" customHeight="1" x14ac:dyDescent="0.2">
      <c r="A23" s="499">
        <v>4</v>
      </c>
      <c r="B23" s="512">
        <v>2437</v>
      </c>
      <c r="C23" s="513">
        <v>600079074</v>
      </c>
      <c r="D23" s="512">
        <v>72743221</v>
      </c>
      <c r="E23" s="511" t="s">
        <v>524</v>
      </c>
      <c r="F23" s="499">
        <v>3111</v>
      </c>
      <c r="G23" s="514" t="s">
        <v>278</v>
      </c>
      <c r="H23" s="495" t="s">
        <v>263</v>
      </c>
      <c r="I23" s="627">
        <f t="shared" si="3"/>
        <v>0</v>
      </c>
      <c r="J23" s="490">
        <v>0</v>
      </c>
      <c r="K23" s="14">
        <v>0</v>
      </c>
      <c r="L23" s="14">
        <v>0</v>
      </c>
      <c r="M23" s="14">
        <v>0</v>
      </c>
      <c r="N23" s="682">
        <v>0</v>
      </c>
      <c r="O23" s="696">
        <f t="shared" si="4"/>
        <v>0</v>
      </c>
      <c r="P23" s="490">
        <v>396847</v>
      </c>
      <c r="Q23" s="492">
        <v>0</v>
      </c>
      <c r="R23" s="492">
        <v>0</v>
      </c>
      <c r="S23" s="492">
        <v>0</v>
      </c>
      <c r="T23" s="492">
        <v>0</v>
      </c>
      <c r="U23" s="492">
        <f>O23+P23+Q23+R23+S23+T23</f>
        <v>396847</v>
      </c>
      <c r="V23" s="492">
        <v>0</v>
      </c>
      <c r="W23" s="492">
        <v>0</v>
      </c>
      <c r="X23" s="492">
        <v>0</v>
      </c>
      <c r="Y23" s="492">
        <f t="shared" si="18"/>
        <v>0</v>
      </c>
      <c r="Z23" s="492">
        <f t="shared" si="19"/>
        <v>396847</v>
      </c>
      <c r="AA23" s="494">
        <f t="shared" si="20"/>
        <v>134134</v>
      </c>
      <c r="AB23" s="494">
        <f>ROUND(U23*1%,0)</f>
        <v>3968</v>
      </c>
      <c r="AC23" s="14">
        <v>0</v>
      </c>
      <c r="AD23" s="892">
        <f t="shared" si="8"/>
        <v>534949</v>
      </c>
      <c r="AE23" s="702">
        <v>0</v>
      </c>
      <c r="AF23" s="121">
        <v>1</v>
      </c>
      <c r="AG23" s="491">
        <v>0</v>
      </c>
      <c r="AH23" s="491">
        <v>0</v>
      </c>
      <c r="AI23" s="491">
        <v>0</v>
      </c>
      <c r="AJ23" s="491">
        <v>0</v>
      </c>
      <c r="AK23" s="626">
        <f>SUM(AE23:AJ23)</f>
        <v>1</v>
      </c>
      <c r="AL23" s="696">
        <f>I23+AD23</f>
        <v>534949</v>
      </c>
      <c r="AM23" s="492">
        <f>J23+U23</f>
        <v>396847</v>
      </c>
      <c r="AN23" s="492">
        <f>Y23</f>
        <v>0</v>
      </c>
      <c r="AO23" s="492">
        <f t="shared" si="21"/>
        <v>134134</v>
      </c>
      <c r="AP23" s="492">
        <f t="shared" si="21"/>
        <v>3968</v>
      </c>
      <c r="AQ23" s="578">
        <f t="shared" si="21"/>
        <v>0</v>
      </c>
      <c r="AR23" s="626">
        <f>N23+AK23</f>
        <v>1</v>
      </c>
    </row>
    <row r="24" spans="1:44" ht="14.1" customHeight="1" x14ac:dyDescent="0.2">
      <c r="A24" s="510">
        <v>4</v>
      </c>
      <c r="B24" s="508">
        <v>2437</v>
      </c>
      <c r="C24" s="509">
        <v>600079074</v>
      </c>
      <c r="D24" s="508">
        <v>72743221</v>
      </c>
      <c r="E24" s="506" t="s">
        <v>525</v>
      </c>
      <c r="F24" s="510"/>
      <c r="G24" s="506"/>
      <c r="H24" s="505"/>
      <c r="I24" s="629">
        <f t="shared" ref="I24:N24" si="22">SUM(I21:I23)</f>
        <v>14895146</v>
      </c>
      <c r="J24" s="504">
        <f t="shared" si="22"/>
        <v>11049812</v>
      </c>
      <c r="K24" s="504">
        <f t="shared" si="22"/>
        <v>3734836</v>
      </c>
      <c r="L24" s="504">
        <f t="shared" si="22"/>
        <v>110498</v>
      </c>
      <c r="M24" s="504">
        <f t="shared" si="22"/>
        <v>0</v>
      </c>
      <c r="N24" s="885">
        <f t="shared" si="22"/>
        <v>18.483799999999999</v>
      </c>
      <c r="O24" s="629">
        <f t="shared" ref="O24:AR24" si="23">SUM(O21:O23)</f>
        <v>0</v>
      </c>
      <c r="P24" s="503">
        <f t="shared" si="23"/>
        <v>396847</v>
      </c>
      <c r="Q24" s="503">
        <f t="shared" si="23"/>
        <v>0</v>
      </c>
      <c r="R24" s="503">
        <f t="shared" si="23"/>
        <v>0</v>
      </c>
      <c r="S24" s="503">
        <f t="shared" si="23"/>
        <v>0</v>
      </c>
      <c r="T24" s="503">
        <f t="shared" si="23"/>
        <v>0</v>
      </c>
      <c r="U24" s="503">
        <f t="shared" si="23"/>
        <v>396847</v>
      </c>
      <c r="V24" s="503">
        <f t="shared" si="23"/>
        <v>0</v>
      </c>
      <c r="W24" s="503">
        <f t="shared" si="23"/>
        <v>0</v>
      </c>
      <c r="X24" s="503">
        <f t="shared" si="23"/>
        <v>0</v>
      </c>
      <c r="Y24" s="503">
        <f t="shared" si="23"/>
        <v>0</v>
      </c>
      <c r="Z24" s="503">
        <f t="shared" si="23"/>
        <v>396847</v>
      </c>
      <c r="AA24" s="503">
        <f t="shared" si="23"/>
        <v>134134</v>
      </c>
      <c r="AB24" s="503">
        <f t="shared" si="23"/>
        <v>3968</v>
      </c>
      <c r="AC24" s="503">
        <f t="shared" si="23"/>
        <v>0</v>
      </c>
      <c r="AD24" s="891">
        <f t="shared" si="23"/>
        <v>534949</v>
      </c>
      <c r="AE24" s="701">
        <f t="shared" si="23"/>
        <v>0</v>
      </c>
      <c r="AF24" s="701">
        <f t="shared" si="23"/>
        <v>1</v>
      </c>
      <c r="AG24" s="502">
        <f t="shared" si="23"/>
        <v>0</v>
      </c>
      <c r="AH24" s="502">
        <f t="shared" si="23"/>
        <v>0</v>
      </c>
      <c r="AI24" s="502">
        <f t="shared" si="23"/>
        <v>0</v>
      </c>
      <c r="AJ24" s="502">
        <f t="shared" si="23"/>
        <v>0</v>
      </c>
      <c r="AK24" s="630">
        <f t="shared" si="23"/>
        <v>1</v>
      </c>
      <c r="AL24" s="629">
        <f t="shared" si="23"/>
        <v>15430095</v>
      </c>
      <c r="AM24" s="503">
        <f t="shared" si="23"/>
        <v>11446659</v>
      </c>
      <c r="AN24" s="552">
        <f t="shared" si="23"/>
        <v>0</v>
      </c>
      <c r="AO24" s="503">
        <f t="shared" si="23"/>
        <v>3868970</v>
      </c>
      <c r="AP24" s="503">
        <f t="shared" si="23"/>
        <v>114466</v>
      </c>
      <c r="AQ24" s="503">
        <f t="shared" si="23"/>
        <v>0</v>
      </c>
      <c r="AR24" s="630">
        <f t="shared" si="23"/>
        <v>19.483799999999999</v>
      </c>
    </row>
    <row r="25" spans="1:44" ht="14.1" customHeight="1" x14ac:dyDescent="0.2">
      <c r="A25" s="499">
        <v>5</v>
      </c>
      <c r="B25" s="512">
        <v>2411</v>
      </c>
      <c r="C25" s="513">
        <v>600079554</v>
      </c>
      <c r="D25" s="512">
        <v>72742666</v>
      </c>
      <c r="E25" s="511" t="s">
        <v>526</v>
      </c>
      <c r="F25" s="499">
        <v>3111</v>
      </c>
      <c r="G25" s="511" t="s">
        <v>277</v>
      </c>
      <c r="H25" s="495" t="s">
        <v>262</v>
      </c>
      <c r="I25" s="627">
        <f t="shared" si="3"/>
        <v>7029102</v>
      </c>
      <c r="J25" s="14">
        <v>5214467</v>
      </c>
      <c r="K25" s="14">
        <v>1762490</v>
      </c>
      <c r="L25" s="14">
        <v>52145</v>
      </c>
      <c r="M25" s="14">
        <v>0</v>
      </c>
      <c r="N25" s="121">
        <v>8.4192999999999998</v>
      </c>
      <c r="O25" s="696">
        <f t="shared" si="4"/>
        <v>-5000</v>
      </c>
      <c r="P25" s="492">
        <v>0</v>
      </c>
      <c r="Q25" s="492">
        <v>0</v>
      </c>
      <c r="R25" s="492">
        <v>0</v>
      </c>
      <c r="S25" s="492">
        <v>0</v>
      </c>
      <c r="T25" s="492">
        <v>0</v>
      </c>
      <c r="U25" s="492">
        <f>O25+P25+Q25+R25+S25+T25</f>
        <v>-5000</v>
      </c>
      <c r="V25" s="492">
        <v>5000</v>
      </c>
      <c r="W25" s="492">
        <v>0</v>
      </c>
      <c r="X25" s="492">
        <v>0</v>
      </c>
      <c r="Y25" s="492">
        <f t="shared" ref="Y25:Y26" si="24">V25+W25+X25</f>
        <v>5000</v>
      </c>
      <c r="Z25" s="492">
        <f t="shared" ref="Z25:Z26" si="25">U25+Y25</f>
        <v>0</v>
      </c>
      <c r="AA25" s="494">
        <f t="shared" ref="AA25:AA26" si="26">ROUND((U25+Y25)*33.8%,0)</f>
        <v>0</v>
      </c>
      <c r="AB25" s="494">
        <f>ROUND(U25*1%,0)</f>
        <v>-50</v>
      </c>
      <c r="AC25" s="14">
        <v>0</v>
      </c>
      <c r="AD25" s="892">
        <f t="shared" si="8"/>
        <v>-50</v>
      </c>
      <c r="AE25" s="702">
        <v>0</v>
      </c>
      <c r="AF25" s="702">
        <v>0</v>
      </c>
      <c r="AG25" s="491">
        <v>0</v>
      </c>
      <c r="AH25" s="491">
        <v>0</v>
      </c>
      <c r="AI25" s="491">
        <v>0</v>
      </c>
      <c r="AJ25" s="491">
        <v>0</v>
      </c>
      <c r="AK25" s="626">
        <f>SUM(AE25:AJ25)</f>
        <v>0</v>
      </c>
      <c r="AL25" s="696">
        <f>I25+AD25</f>
        <v>7029052</v>
      </c>
      <c r="AM25" s="492">
        <f>J25+U25</f>
        <v>5209467</v>
      </c>
      <c r="AN25" s="492">
        <f>Y25</f>
        <v>5000</v>
      </c>
      <c r="AO25" s="492">
        <f t="shared" ref="AO25:AQ26" si="27">K25+AA25</f>
        <v>1762490</v>
      </c>
      <c r="AP25" s="492">
        <f t="shared" si="27"/>
        <v>52095</v>
      </c>
      <c r="AQ25" s="578">
        <f t="shared" si="27"/>
        <v>0</v>
      </c>
      <c r="AR25" s="626">
        <f>N25+AK25</f>
        <v>8.4192999999999998</v>
      </c>
    </row>
    <row r="26" spans="1:44" ht="14.1" customHeight="1" x14ac:dyDescent="0.2">
      <c r="A26" s="499">
        <v>5</v>
      </c>
      <c r="B26" s="512">
        <v>2411</v>
      </c>
      <c r="C26" s="513">
        <v>600079554</v>
      </c>
      <c r="D26" s="512">
        <v>72742666</v>
      </c>
      <c r="E26" s="511" t="s">
        <v>526</v>
      </c>
      <c r="F26" s="499">
        <v>3111</v>
      </c>
      <c r="G26" s="511" t="s">
        <v>278</v>
      </c>
      <c r="H26" s="495" t="s">
        <v>263</v>
      </c>
      <c r="I26" s="627">
        <f t="shared" si="3"/>
        <v>0</v>
      </c>
      <c r="J26" s="490">
        <v>0</v>
      </c>
      <c r="K26" s="14">
        <v>0</v>
      </c>
      <c r="L26" s="14">
        <v>0</v>
      </c>
      <c r="M26" s="14">
        <v>0</v>
      </c>
      <c r="N26" s="682">
        <v>0</v>
      </c>
      <c r="O26" s="696">
        <f t="shared" si="4"/>
        <v>0</v>
      </c>
      <c r="P26" s="492">
        <v>0</v>
      </c>
      <c r="Q26" s="492">
        <v>0</v>
      </c>
      <c r="R26" s="492">
        <v>0</v>
      </c>
      <c r="S26" s="492">
        <v>0</v>
      </c>
      <c r="T26" s="492">
        <v>0</v>
      </c>
      <c r="U26" s="492">
        <f>O26+P26+Q26+R26+S26+T26</f>
        <v>0</v>
      </c>
      <c r="V26" s="492">
        <v>0</v>
      </c>
      <c r="W26" s="492">
        <v>0</v>
      </c>
      <c r="X26" s="492">
        <v>0</v>
      </c>
      <c r="Y26" s="492">
        <f t="shared" si="24"/>
        <v>0</v>
      </c>
      <c r="Z26" s="492">
        <f t="shared" si="25"/>
        <v>0</v>
      </c>
      <c r="AA26" s="494">
        <f t="shared" si="26"/>
        <v>0</v>
      </c>
      <c r="AB26" s="494">
        <f>ROUND(U26*1%,0)</f>
        <v>0</v>
      </c>
      <c r="AC26" s="14">
        <v>0</v>
      </c>
      <c r="AD26" s="892">
        <f t="shared" si="8"/>
        <v>0</v>
      </c>
      <c r="AE26" s="702">
        <v>0</v>
      </c>
      <c r="AF26" s="702">
        <v>0</v>
      </c>
      <c r="AG26" s="491">
        <v>0</v>
      </c>
      <c r="AH26" s="491">
        <v>0</v>
      </c>
      <c r="AI26" s="491">
        <v>0</v>
      </c>
      <c r="AJ26" s="491">
        <v>0</v>
      </c>
      <c r="AK26" s="626">
        <f>SUM(AE26:AJ26)</f>
        <v>0</v>
      </c>
      <c r="AL26" s="696">
        <f>I26+AD26</f>
        <v>0</v>
      </c>
      <c r="AM26" s="492">
        <f>J26+U26</f>
        <v>0</v>
      </c>
      <c r="AN26" s="492">
        <f>Y26</f>
        <v>0</v>
      </c>
      <c r="AO26" s="492">
        <f t="shared" si="27"/>
        <v>0</v>
      </c>
      <c r="AP26" s="492">
        <f t="shared" si="27"/>
        <v>0</v>
      </c>
      <c r="AQ26" s="578">
        <f t="shared" si="27"/>
        <v>0</v>
      </c>
      <c r="AR26" s="626">
        <f>N26+AK26</f>
        <v>0</v>
      </c>
    </row>
    <row r="27" spans="1:44" ht="14.1" customHeight="1" x14ac:dyDescent="0.2">
      <c r="A27" s="510">
        <v>5</v>
      </c>
      <c r="B27" s="508">
        <v>2411</v>
      </c>
      <c r="C27" s="509">
        <v>600079554</v>
      </c>
      <c r="D27" s="508">
        <v>72742666</v>
      </c>
      <c r="E27" s="506" t="s">
        <v>527</v>
      </c>
      <c r="F27" s="510"/>
      <c r="G27" s="506"/>
      <c r="H27" s="505"/>
      <c r="I27" s="629">
        <f t="shared" ref="I27:N27" si="28">SUM(I25:I26)</f>
        <v>7029102</v>
      </c>
      <c r="J27" s="504">
        <f t="shared" si="28"/>
        <v>5214467</v>
      </c>
      <c r="K27" s="504">
        <f t="shared" si="28"/>
        <v>1762490</v>
      </c>
      <c r="L27" s="504">
        <f t="shared" si="28"/>
        <v>52145</v>
      </c>
      <c r="M27" s="504">
        <f t="shared" si="28"/>
        <v>0</v>
      </c>
      <c r="N27" s="885">
        <f t="shared" si="28"/>
        <v>8.4192999999999998</v>
      </c>
      <c r="O27" s="629">
        <f t="shared" ref="O27:AR27" si="29">SUM(O25:O26)</f>
        <v>-5000</v>
      </c>
      <c r="P27" s="503">
        <f t="shared" si="29"/>
        <v>0</v>
      </c>
      <c r="Q27" s="503">
        <f t="shared" si="29"/>
        <v>0</v>
      </c>
      <c r="R27" s="503">
        <f t="shared" si="29"/>
        <v>0</v>
      </c>
      <c r="S27" s="503">
        <f t="shared" si="29"/>
        <v>0</v>
      </c>
      <c r="T27" s="503">
        <f t="shared" si="29"/>
        <v>0</v>
      </c>
      <c r="U27" s="503">
        <f t="shared" si="29"/>
        <v>-5000</v>
      </c>
      <c r="V27" s="503">
        <f t="shared" si="29"/>
        <v>5000</v>
      </c>
      <c r="W27" s="503">
        <f t="shared" si="29"/>
        <v>0</v>
      </c>
      <c r="X27" s="503">
        <f t="shared" si="29"/>
        <v>0</v>
      </c>
      <c r="Y27" s="503">
        <f t="shared" si="29"/>
        <v>5000</v>
      </c>
      <c r="Z27" s="503">
        <f t="shared" si="29"/>
        <v>0</v>
      </c>
      <c r="AA27" s="503">
        <f t="shared" si="29"/>
        <v>0</v>
      </c>
      <c r="AB27" s="503">
        <f t="shared" si="29"/>
        <v>-50</v>
      </c>
      <c r="AC27" s="503">
        <f t="shared" si="29"/>
        <v>0</v>
      </c>
      <c r="AD27" s="891">
        <f t="shared" si="29"/>
        <v>-50</v>
      </c>
      <c r="AE27" s="701">
        <f t="shared" si="29"/>
        <v>0</v>
      </c>
      <c r="AF27" s="701">
        <f t="shared" si="29"/>
        <v>0</v>
      </c>
      <c r="AG27" s="502">
        <f t="shared" si="29"/>
        <v>0</v>
      </c>
      <c r="AH27" s="502">
        <f t="shared" si="29"/>
        <v>0</v>
      </c>
      <c r="AI27" s="502">
        <f t="shared" si="29"/>
        <v>0</v>
      </c>
      <c r="AJ27" s="502">
        <f t="shared" si="29"/>
        <v>0</v>
      </c>
      <c r="AK27" s="630">
        <f t="shared" si="29"/>
        <v>0</v>
      </c>
      <c r="AL27" s="629">
        <f t="shared" si="29"/>
        <v>7029052</v>
      </c>
      <c r="AM27" s="503">
        <f t="shared" si="29"/>
        <v>5209467</v>
      </c>
      <c r="AN27" s="552">
        <f t="shared" si="29"/>
        <v>5000</v>
      </c>
      <c r="AO27" s="503">
        <f t="shared" si="29"/>
        <v>1762490</v>
      </c>
      <c r="AP27" s="503">
        <f t="shared" si="29"/>
        <v>52095</v>
      </c>
      <c r="AQ27" s="503">
        <f t="shared" si="29"/>
        <v>0</v>
      </c>
      <c r="AR27" s="630">
        <f t="shared" si="29"/>
        <v>8.4192999999999998</v>
      </c>
    </row>
    <row r="28" spans="1:44" ht="14.1" customHeight="1" x14ac:dyDescent="0.2">
      <c r="A28" s="499">
        <v>6</v>
      </c>
      <c r="B28" s="512">
        <v>2407</v>
      </c>
      <c r="C28" s="513">
        <v>600079520</v>
      </c>
      <c r="D28" s="512">
        <v>72741465</v>
      </c>
      <c r="E28" s="511" t="s">
        <v>528</v>
      </c>
      <c r="F28" s="499">
        <v>3111</v>
      </c>
      <c r="G28" s="511" t="s">
        <v>277</v>
      </c>
      <c r="H28" s="495" t="s">
        <v>262</v>
      </c>
      <c r="I28" s="627">
        <f t="shared" si="3"/>
        <v>14180329</v>
      </c>
      <c r="J28" s="14">
        <v>10519532</v>
      </c>
      <c r="K28" s="14">
        <v>3555602</v>
      </c>
      <c r="L28" s="14">
        <v>105195</v>
      </c>
      <c r="M28" s="14">
        <v>0</v>
      </c>
      <c r="N28" s="121">
        <v>17.451599999999999</v>
      </c>
      <c r="O28" s="696">
        <f t="shared" si="4"/>
        <v>0</v>
      </c>
      <c r="P28" s="492">
        <v>0</v>
      </c>
      <c r="Q28" s="492">
        <v>0</v>
      </c>
      <c r="R28" s="492">
        <v>0</v>
      </c>
      <c r="S28" s="492">
        <v>0</v>
      </c>
      <c r="T28" s="492">
        <v>0</v>
      </c>
      <c r="U28" s="492">
        <f>O28+P28+Q28+R28+S28+T28</f>
        <v>0</v>
      </c>
      <c r="V28" s="492">
        <v>0</v>
      </c>
      <c r="W28" s="492">
        <v>0</v>
      </c>
      <c r="X28" s="492">
        <v>0</v>
      </c>
      <c r="Y28" s="492">
        <f t="shared" ref="Y28:Y29" si="30">V28+W28+X28</f>
        <v>0</v>
      </c>
      <c r="Z28" s="492">
        <f t="shared" ref="Z28:Z29" si="31">U28+Y28</f>
        <v>0</v>
      </c>
      <c r="AA28" s="494">
        <f t="shared" ref="AA28:AA29" si="32">ROUND((U28+Y28)*33.8%,0)</f>
        <v>0</v>
      </c>
      <c r="AB28" s="494">
        <f>ROUND(U28*1%,0)</f>
        <v>0</v>
      </c>
      <c r="AC28" s="14">
        <v>0</v>
      </c>
      <c r="AD28" s="892">
        <f t="shared" si="8"/>
        <v>0</v>
      </c>
      <c r="AE28" s="702">
        <v>0</v>
      </c>
      <c r="AF28" s="702">
        <v>0</v>
      </c>
      <c r="AG28" s="491">
        <v>0</v>
      </c>
      <c r="AH28" s="491">
        <v>0</v>
      </c>
      <c r="AI28" s="491">
        <v>0</v>
      </c>
      <c r="AJ28" s="491">
        <v>0</v>
      </c>
      <c r="AK28" s="626">
        <f>SUM(AE28:AJ28)</f>
        <v>0</v>
      </c>
      <c r="AL28" s="696">
        <f>I28+AD28</f>
        <v>14180329</v>
      </c>
      <c r="AM28" s="492">
        <f>J28+U28</f>
        <v>10519532</v>
      </c>
      <c r="AN28" s="492">
        <f>Y28</f>
        <v>0</v>
      </c>
      <c r="AO28" s="492">
        <f t="shared" ref="AO28:AQ29" si="33">K28+AA28</f>
        <v>3555602</v>
      </c>
      <c r="AP28" s="492">
        <f t="shared" si="33"/>
        <v>105195</v>
      </c>
      <c r="AQ28" s="578">
        <f t="shared" si="33"/>
        <v>0</v>
      </c>
      <c r="AR28" s="626">
        <f>N28+AK28</f>
        <v>17.451599999999999</v>
      </c>
    </row>
    <row r="29" spans="1:44" ht="14.1" customHeight="1" x14ac:dyDescent="0.2">
      <c r="A29" s="499">
        <v>6</v>
      </c>
      <c r="B29" s="512">
        <v>2407</v>
      </c>
      <c r="C29" s="513">
        <v>600079520</v>
      </c>
      <c r="D29" s="512">
        <v>72741465</v>
      </c>
      <c r="E29" s="511" t="s">
        <v>528</v>
      </c>
      <c r="F29" s="499">
        <v>3111</v>
      </c>
      <c r="G29" s="514" t="s">
        <v>278</v>
      </c>
      <c r="H29" s="495" t="s">
        <v>263</v>
      </c>
      <c r="I29" s="627">
        <f t="shared" si="3"/>
        <v>0</v>
      </c>
      <c r="J29" s="490">
        <v>0</v>
      </c>
      <c r="K29" s="14">
        <v>0</v>
      </c>
      <c r="L29" s="14">
        <v>0</v>
      </c>
      <c r="M29" s="14">
        <v>0</v>
      </c>
      <c r="N29" s="682">
        <v>0</v>
      </c>
      <c r="O29" s="696">
        <f t="shared" si="4"/>
        <v>0</v>
      </c>
      <c r="P29" s="490">
        <v>1190541</v>
      </c>
      <c r="Q29" s="492">
        <v>0</v>
      </c>
      <c r="R29" s="492">
        <v>0</v>
      </c>
      <c r="S29" s="492">
        <v>0</v>
      </c>
      <c r="T29" s="492">
        <v>0</v>
      </c>
      <c r="U29" s="492">
        <f>O29+P29+Q29+R29+S29+T29</f>
        <v>1190541</v>
      </c>
      <c r="V29" s="492">
        <v>0</v>
      </c>
      <c r="W29" s="492">
        <v>0</v>
      </c>
      <c r="X29" s="492">
        <v>0</v>
      </c>
      <c r="Y29" s="492">
        <f t="shared" si="30"/>
        <v>0</v>
      </c>
      <c r="Z29" s="492">
        <f t="shared" si="31"/>
        <v>1190541</v>
      </c>
      <c r="AA29" s="494">
        <f t="shared" si="32"/>
        <v>402403</v>
      </c>
      <c r="AB29" s="494">
        <f>ROUND(U29*1%,0)</f>
        <v>11905</v>
      </c>
      <c r="AC29" s="14">
        <v>0</v>
      </c>
      <c r="AD29" s="892">
        <f t="shared" si="8"/>
        <v>1604849</v>
      </c>
      <c r="AE29" s="702">
        <v>0</v>
      </c>
      <c r="AF29" s="121">
        <v>3</v>
      </c>
      <c r="AG29" s="491">
        <v>0</v>
      </c>
      <c r="AH29" s="491">
        <v>0</v>
      </c>
      <c r="AI29" s="491">
        <v>0</v>
      </c>
      <c r="AJ29" s="491">
        <v>0</v>
      </c>
      <c r="AK29" s="626">
        <f>SUM(AE29:AJ29)</f>
        <v>3</v>
      </c>
      <c r="AL29" s="696">
        <f>I29+AD29</f>
        <v>1604849</v>
      </c>
      <c r="AM29" s="492">
        <f>J29+U29</f>
        <v>1190541</v>
      </c>
      <c r="AN29" s="492">
        <f>Y29</f>
        <v>0</v>
      </c>
      <c r="AO29" s="492">
        <f t="shared" si="33"/>
        <v>402403</v>
      </c>
      <c r="AP29" s="492">
        <f t="shared" si="33"/>
        <v>11905</v>
      </c>
      <c r="AQ29" s="578">
        <f t="shared" si="33"/>
        <v>0</v>
      </c>
      <c r="AR29" s="626">
        <f>N29+AK29</f>
        <v>3</v>
      </c>
    </row>
    <row r="30" spans="1:44" ht="14.1" customHeight="1" x14ac:dyDescent="0.2">
      <c r="A30" s="510">
        <v>6</v>
      </c>
      <c r="B30" s="508">
        <v>2407</v>
      </c>
      <c r="C30" s="509">
        <v>600079520</v>
      </c>
      <c r="D30" s="508">
        <v>72741465</v>
      </c>
      <c r="E30" s="506" t="s">
        <v>529</v>
      </c>
      <c r="F30" s="510"/>
      <c r="G30" s="506"/>
      <c r="H30" s="505"/>
      <c r="I30" s="629">
        <f t="shared" ref="I30:N30" si="34">SUM(I28:I29)</f>
        <v>14180329</v>
      </c>
      <c r="J30" s="504">
        <f t="shared" si="34"/>
        <v>10519532</v>
      </c>
      <c r="K30" s="504">
        <f t="shared" si="34"/>
        <v>3555602</v>
      </c>
      <c r="L30" s="504">
        <f t="shared" si="34"/>
        <v>105195</v>
      </c>
      <c r="M30" s="504">
        <f t="shared" si="34"/>
        <v>0</v>
      </c>
      <c r="N30" s="885">
        <f t="shared" si="34"/>
        <v>17.451599999999999</v>
      </c>
      <c r="O30" s="629">
        <f t="shared" ref="O30:AR30" si="35">SUM(O28:O29)</f>
        <v>0</v>
      </c>
      <c r="P30" s="503">
        <f t="shared" si="35"/>
        <v>1190541</v>
      </c>
      <c r="Q30" s="503">
        <f t="shared" si="35"/>
        <v>0</v>
      </c>
      <c r="R30" s="503">
        <f t="shared" si="35"/>
        <v>0</v>
      </c>
      <c r="S30" s="503">
        <f t="shared" si="35"/>
        <v>0</v>
      </c>
      <c r="T30" s="503">
        <f t="shared" si="35"/>
        <v>0</v>
      </c>
      <c r="U30" s="503">
        <f t="shared" si="35"/>
        <v>1190541</v>
      </c>
      <c r="V30" s="503">
        <f t="shared" si="35"/>
        <v>0</v>
      </c>
      <c r="W30" s="503">
        <f t="shared" si="35"/>
        <v>0</v>
      </c>
      <c r="X30" s="503">
        <f t="shared" si="35"/>
        <v>0</v>
      </c>
      <c r="Y30" s="503">
        <f t="shared" si="35"/>
        <v>0</v>
      </c>
      <c r="Z30" s="503">
        <f t="shared" si="35"/>
        <v>1190541</v>
      </c>
      <c r="AA30" s="503">
        <f t="shared" si="35"/>
        <v>402403</v>
      </c>
      <c r="AB30" s="503">
        <f t="shared" si="35"/>
        <v>11905</v>
      </c>
      <c r="AC30" s="503">
        <f t="shared" si="35"/>
        <v>0</v>
      </c>
      <c r="AD30" s="891">
        <f t="shared" si="35"/>
        <v>1604849</v>
      </c>
      <c r="AE30" s="701">
        <f t="shared" si="35"/>
        <v>0</v>
      </c>
      <c r="AF30" s="701">
        <f t="shared" si="35"/>
        <v>3</v>
      </c>
      <c r="AG30" s="502">
        <f t="shared" si="35"/>
        <v>0</v>
      </c>
      <c r="AH30" s="502">
        <f t="shared" si="35"/>
        <v>0</v>
      </c>
      <c r="AI30" s="502">
        <f t="shared" si="35"/>
        <v>0</v>
      </c>
      <c r="AJ30" s="502">
        <f t="shared" si="35"/>
        <v>0</v>
      </c>
      <c r="AK30" s="630">
        <f t="shared" si="35"/>
        <v>3</v>
      </c>
      <c r="AL30" s="629">
        <f t="shared" si="35"/>
        <v>15785178</v>
      </c>
      <c r="AM30" s="503">
        <f t="shared" si="35"/>
        <v>11710073</v>
      </c>
      <c r="AN30" s="552">
        <f t="shared" si="35"/>
        <v>0</v>
      </c>
      <c r="AO30" s="503">
        <f t="shared" si="35"/>
        <v>3958005</v>
      </c>
      <c r="AP30" s="503">
        <f t="shared" si="35"/>
        <v>117100</v>
      </c>
      <c r="AQ30" s="503">
        <f t="shared" si="35"/>
        <v>0</v>
      </c>
      <c r="AR30" s="630">
        <f t="shared" si="35"/>
        <v>20.451599999999999</v>
      </c>
    </row>
    <row r="31" spans="1:44" ht="14.1" customHeight="1" x14ac:dyDescent="0.2">
      <c r="A31" s="499">
        <v>7</v>
      </c>
      <c r="B31" s="512">
        <v>2422</v>
      </c>
      <c r="C31" s="513">
        <v>600079082</v>
      </c>
      <c r="D31" s="512">
        <v>72742585</v>
      </c>
      <c r="E31" s="511" t="s">
        <v>530</v>
      </c>
      <c r="F31" s="499">
        <v>3111</v>
      </c>
      <c r="G31" s="511" t="s">
        <v>277</v>
      </c>
      <c r="H31" s="495" t="s">
        <v>262</v>
      </c>
      <c r="I31" s="627">
        <f t="shared" si="3"/>
        <v>8604664</v>
      </c>
      <c r="J31" s="14">
        <v>6383282</v>
      </c>
      <c r="K31" s="14">
        <v>2157549</v>
      </c>
      <c r="L31" s="14">
        <v>63833</v>
      </c>
      <c r="M31" s="14">
        <v>0</v>
      </c>
      <c r="N31" s="121">
        <v>10.8065</v>
      </c>
      <c r="O31" s="696">
        <f t="shared" si="4"/>
        <v>-25000</v>
      </c>
      <c r="P31" s="492">
        <v>0</v>
      </c>
      <c r="Q31" s="492">
        <v>0</v>
      </c>
      <c r="R31" s="492">
        <v>0</v>
      </c>
      <c r="S31" s="492">
        <v>0</v>
      </c>
      <c r="T31" s="492">
        <v>0</v>
      </c>
      <c r="U31" s="492">
        <f>O31+P31+Q31+R31+S31+T31</f>
        <v>-25000</v>
      </c>
      <c r="V31" s="492">
        <v>25000</v>
      </c>
      <c r="W31" s="492">
        <v>0</v>
      </c>
      <c r="X31" s="492">
        <v>0</v>
      </c>
      <c r="Y31" s="492">
        <f t="shared" ref="Y31:Y32" si="36">V31+W31+X31</f>
        <v>25000</v>
      </c>
      <c r="Z31" s="492">
        <f t="shared" ref="Z31:Z32" si="37">U31+Y31</f>
        <v>0</v>
      </c>
      <c r="AA31" s="494">
        <f t="shared" ref="AA31:AA32" si="38">ROUND((U31+Y31)*33.8%,0)</f>
        <v>0</v>
      </c>
      <c r="AB31" s="494">
        <f>ROUND(U31*1%,0)</f>
        <v>-250</v>
      </c>
      <c r="AC31" s="14">
        <v>0</v>
      </c>
      <c r="AD31" s="892">
        <f t="shared" si="8"/>
        <v>-250</v>
      </c>
      <c r="AE31" s="702">
        <v>0</v>
      </c>
      <c r="AF31" s="702">
        <v>0</v>
      </c>
      <c r="AG31" s="491">
        <v>0</v>
      </c>
      <c r="AH31" s="491">
        <v>0</v>
      </c>
      <c r="AI31" s="491">
        <v>0</v>
      </c>
      <c r="AJ31" s="491">
        <v>0</v>
      </c>
      <c r="AK31" s="626">
        <f>SUM(AE31:AJ31)</f>
        <v>0</v>
      </c>
      <c r="AL31" s="696">
        <f>I31+AD31</f>
        <v>8604414</v>
      </c>
      <c r="AM31" s="492">
        <f>J31+U31</f>
        <v>6358282</v>
      </c>
      <c r="AN31" s="492">
        <f>Y31</f>
        <v>25000</v>
      </c>
      <c r="AO31" s="492">
        <f t="shared" ref="AO31:AQ32" si="39">K31+AA31</f>
        <v>2157549</v>
      </c>
      <c r="AP31" s="492">
        <f t="shared" si="39"/>
        <v>63583</v>
      </c>
      <c r="AQ31" s="578">
        <f t="shared" si="39"/>
        <v>0</v>
      </c>
      <c r="AR31" s="626">
        <f>N31+AK31</f>
        <v>10.8065</v>
      </c>
    </row>
    <row r="32" spans="1:44" ht="14.1" customHeight="1" x14ac:dyDescent="0.2">
      <c r="A32" s="499">
        <v>7</v>
      </c>
      <c r="B32" s="512">
        <v>2422</v>
      </c>
      <c r="C32" s="513">
        <v>600079082</v>
      </c>
      <c r="D32" s="512">
        <v>72742585</v>
      </c>
      <c r="E32" s="511" t="s">
        <v>530</v>
      </c>
      <c r="F32" s="499">
        <v>3111</v>
      </c>
      <c r="G32" s="514" t="s">
        <v>278</v>
      </c>
      <c r="H32" s="495" t="s">
        <v>263</v>
      </c>
      <c r="I32" s="627">
        <f t="shared" si="3"/>
        <v>0</v>
      </c>
      <c r="J32" s="490">
        <v>0</v>
      </c>
      <c r="K32" s="14">
        <v>0</v>
      </c>
      <c r="L32" s="14">
        <v>0</v>
      </c>
      <c r="M32" s="14">
        <v>0</v>
      </c>
      <c r="N32" s="682">
        <v>0</v>
      </c>
      <c r="O32" s="696">
        <f t="shared" si="4"/>
        <v>0</v>
      </c>
      <c r="P32" s="490">
        <v>551182</v>
      </c>
      <c r="Q32" s="492">
        <v>0</v>
      </c>
      <c r="R32" s="492">
        <v>0</v>
      </c>
      <c r="S32" s="492">
        <v>0</v>
      </c>
      <c r="T32" s="492">
        <v>0</v>
      </c>
      <c r="U32" s="492">
        <f>O32+P32+Q32+R32+S32+T32</f>
        <v>551182</v>
      </c>
      <c r="V32" s="492">
        <v>0</v>
      </c>
      <c r="W32" s="492">
        <v>0</v>
      </c>
      <c r="X32" s="492">
        <v>0</v>
      </c>
      <c r="Y32" s="492">
        <f t="shared" si="36"/>
        <v>0</v>
      </c>
      <c r="Z32" s="492">
        <f t="shared" si="37"/>
        <v>551182</v>
      </c>
      <c r="AA32" s="494">
        <f t="shared" si="38"/>
        <v>186300</v>
      </c>
      <c r="AB32" s="494">
        <f>ROUND(U32*1%,0)</f>
        <v>5512</v>
      </c>
      <c r="AC32" s="14">
        <v>0</v>
      </c>
      <c r="AD32" s="892">
        <f t="shared" si="8"/>
        <v>742994</v>
      </c>
      <c r="AE32" s="702">
        <v>0</v>
      </c>
      <c r="AF32" s="121">
        <v>1.3900000000000001</v>
      </c>
      <c r="AG32" s="491">
        <v>0</v>
      </c>
      <c r="AH32" s="491">
        <v>0</v>
      </c>
      <c r="AI32" s="491">
        <v>0</v>
      </c>
      <c r="AJ32" s="491">
        <v>0</v>
      </c>
      <c r="AK32" s="626">
        <f>SUM(AE32:AJ32)</f>
        <v>1.3900000000000001</v>
      </c>
      <c r="AL32" s="696">
        <f>I32+AD32</f>
        <v>742994</v>
      </c>
      <c r="AM32" s="492">
        <f>J32+U32</f>
        <v>551182</v>
      </c>
      <c r="AN32" s="492">
        <f>Y32</f>
        <v>0</v>
      </c>
      <c r="AO32" s="492">
        <f t="shared" si="39"/>
        <v>186300</v>
      </c>
      <c r="AP32" s="492">
        <f t="shared" si="39"/>
        <v>5512</v>
      </c>
      <c r="AQ32" s="578">
        <f t="shared" si="39"/>
        <v>0</v>
      </c>
      <c r="AR32" s="626">
        <f>N32+AK32</f>
        <v>1.3900000000000001</v>
      </c>
    </row>
    <row r="33" spans="1:44" ht="14.1" customHeight="1" x14ac:dyDescent="0.2">
      <c r="A33" s="510">
        <v>7</v>
      </c>
      <c r="B33" s="508">
        <v>2422</v>
      </c>
      <c r="C33" s="509">
        <v>600079082</v>
      </c>
      <c r="D33" s="508">
        <v>72742585</v>
      </c>
      <c r="E33" s="506" t="s">
        <v>531</v>
      </c>
      <c r="F33" s="510"/>
      <c r="G33" s="506"/>
      <c r="H33" s="505"/>
      <c r="I33" s="629">
        <f t="shared" ref="I33:N33" si="40">SUM(I31:I32)</f>
        <v>8604664</v>
      </c>
      <c r="J33" s="504">
        <f t="shared" si="40"/>
        <v>6383282</v>
      </c>
      <c r="K33" s="504">
        <f t="shared" si="40"/>
        <v>2157549</v>
      </c>
      <c r="L33" s="504">
        <f t="shared" si="40"/>
        <v>63833</v>
      </c>
      <c r="M33" s="504">
        <f t="shared" si="40"/>
        <v>0</v>
      </c>
      <c r="N33" s="885">
        <f t="shared" si="40"/>
        <v>10.8065</v>
      </c>
      <c r="O33" s="629">
        <f t="shared" ref="O33:AR33" si="41">SUM(O31:O32)</f>
        <v>-25000</v>
      </c>
      <c r="P33" s="503">
        <f t="shared" si="41"/>
        <v>551182</v>
      </c>
      <c r="Q33" s="503">
        <f t="shared" si="41"/>
        <v>0</v>
      </c>
      <c r="R33" s="503">
        <f t="shared" si="41"/>
        <v>0</v>
      </c>
      <c r="S33" s="503">
        <f t="shared" si="41"/>
        <v>0</v>
      </c>
      <c r="T33" s="503">
        <f t="shared" si="41"/>
        <v>0</v>
      </c>
      <c r="U33" s="503">
        <f t="shared" si="41"/>
        <v>526182</v>
      </c>
      <c r="V33" s="503">
        <f t="shared" si="41"/>
        <v>25000</v>
      </c>
      <c r="W33" s="503">
        <f t="shared" si="41"/>
        <v>0</v>
      </c>
      <c r="X33" s="503">
        <f t="shared" si="41"/>
        <v>0</v>
      </c>
      <c r="Y33" s="503">
        <f t="shared" si="41"/>
        <v>25000</v>
      </c>
      <c r="Z33" s="503">
        <f t="shared" si="41"/>
        <v>551182</v>
      </c>
      <c r="AA33" s="503">
        <f t="shared" si="41"/>
        <v>186300</v>
      </c>
      <c r="AB33" s="503">
        <f t="shared" si="41"/>
        <v>5262</v>
      </c>
      <c r="AC33" s="503">
        <f t="shared" si="41"/>
        <v>0</v>
      </c>
      <c r="AD33" s="891">
        <f t="shared" si="41"/>
        <v>742744</v>
      </c>
      <c r="AE33" s="701">
        <f t="shared" si="41"/>
        <v>0</v>
      </c>
      <c r="AF33" s="701">
        <f t="shared" si="41"/>
        <v>1.3900000000000001</v>
      </c>
      <c r="AG33" s="502">
        <f t="shared" si="41"/>
        <v>0</v>
      </c>
      <c r="AH33" s="502">
        <f t="shared" si="41"/>
        <v>0</v>
      </c>
      <c r="AI33" s="502">
        <f t="shared" si="41"/>
        <v>0</v>
      </c>
      <c r="AJ33" s="502">
        <f t="shared" si="41"/>
        <v>0</v>
      </c>
      <c r="AK33" s="630">
        <f t="shared" si="41"/>
        <v>1.3900000000000001</v>
      </c>
      <c r="AL33" s="629">
        <f t="shared" si="41"/>
        <v>9347408</v>
      </c>
      <c r="AM33" s="503">
        <f t="shared" si="41"/>
        <v>6909464</v>
      </c>
      <c r="AN33" s="552">
        <f t="shared" si="41"/>
        <v>25000</v>
      </c>
      <c r="AO33" s="503">
        <f t="shared" si="41"/>
        <v>2343849</v>
      </c>
      <c r="AP33" s="503">
        <f t="shared" si="41"/>
        <v>69095</v>
      </c>
      <c r="AQ33" s="503">
        <f t="shared" si="41"/>
        <v>0</v>
      </c>
      <c r="AR33" s="630">
        <f t="shared" si="41"/>
        <v>12.1965</v>
      </c>
    </row>
    <row r="34" spans="1:44" ht="14.1" customHeight="1" x14ac:dyDescent="0.2">
      <c r="A34" s="499">
        <v>8</v>
      </c>
      <c r="B34" s="512">
        <v>2427</v>
      </c>
      <c r="C34" s="513">
        <v>600079091</v>
      </c>
      <c r="D34" s="512">
        <v>72741627</v>
      </c>
      <c r="E34" s="511" t="s">
        <v>532</v>
      </c>
      <c r="F34" s="499">
        <v>3111</v>
      </c>
      <c r="G34" s="511" t="s">
        <v>277</v>
      </c>
      <c r="H34" s="495" t="s">
        <v>262</v>
      </c>
      <c r="I34" s="627">
        <f t="shared" si="3"/>
        <v>4945987</v>
      </c>
      <c r="J34" s="14">
        <v>3669130</v>
      </c>
      <c r="K34" s="14">
        <v>1240166</v>
      </c>
      <c r="L34" s="14">
        <v>36691</v>
      </c>
      <c r="M34" s="14">
        <v>0</v>
      </c>
      <c r="N34" s="121">
        <v>6.2417999999999996</v>
      </c>
      <c r="O34" s="696">
        <f t="shared" si="4"/>
        <v>0</v>
      </c>
      <c r="P34" s="492">
        <v>0</v>
      </c>
      <c r="Q34" s="492">
        <v>0</v>
      </c>
      <c r="R34" s="492">
        <v>0</v>
      </c>
      <c r="S34" s="492">
        <v>0</v>
      </c>
      <c r="T34" s="492">
        <v>0</v>
      </c>
      <c r="U34" s="492">
        <f>O34+P34+Q34+R34+S34+T34</f>
        <v>0</v>
      </c>
      <c r="V34" s="492">
        <v>0</v>
      </c>
      <c r="W34" s="492">
        <v>0</v>
      </c>
      <c r="X34" s="492">
        <v>0</v>
      </c>
      <c r="Y34" s="492">
        <f t="shared" ref="Y34:Y35" si="42">V34+W34+X34</f>
        <v>0</v>
      </c>
      <c r="Z34" s="492">
        <f t="shared" ref="Z34:Z35" si="43">U34+Y34</f>
        <v>0</v>
      </c>
      <c r="AA34" s="494">
        <f t="shared" ref="AA34:AA35" si="44">ROUND((U34+Y34)*33.8%,0)</f>
        <v>0</v>
      </c>
      <c r="AB34" s="494">
        <f>ROUND(U34*1%,0)</f>
        <v>0</v>
      </c>
      <c r="AC34" s="14">
        <v>0</v>
      </c>
      <c r="AD34" s="892">
        <f t="shared" si="8"/>
        <v>0</v>
      </c>
      <c r="AE34" s="702">
        <v>0</v>
      </c>
      <c r="AF34" s="702">
        <v>0</v>
      </c>
      <c r="AG34" s="491">
        <v>0</v>
      </c>
      <c r="AH34" s="491">
        <v>0</v>
      </c>
      <c r="AI34" s="491">
        <v>0</v>
      </c>
      <c r="AJ34" s="491">
        <v>0</v>
      </c>
      <c r="AK34" s="626">
        <f>SUM(AE34:AJ34)</f>
        <v>0</v>
      </c>
      <c r="AL34" s="696">
        <f>I34+AD34</f>
        <v>4945987</v>
      </c>
      <c r="AM34" s="492">
        <f>J34+U34</f>
        <v>3669130</v>
      </c>
      <c r="AN34" s="492">
        <f>Y34</f>
        <v>0</v>
      </c>
      <c r="AO34" s="492">
        <f t="shared" ref="AO34:AQ35" si="45">K34+AA34</f>
        <v>1240166</v>
      </c>
      <c r="AP34" s="492">
        <f t="shared" si="45"/>
        <v>36691</v>
      </c>
      <c r="AQ34" s="578">
        <f t="shared" si="45"/>
        <v>0</v>
      </c>
      <c r="AR34" s="626">
        <f>N34+AK34</f>
        <v>6.2417999999999996</v>
      </c>
    </row>
    <row r="35" spans="1:44" ht="14.1" customHeight="1" x14ac:dyDescent="0.2">
      <c r="A35" s="499">
        <v>8</v>
      </c>
      <c r="B35" s="512">
        <v>2427</v>
      </c>
      <c r="C35" s="513">
        <v>600079091</v>
      </c>
      <c r="D35" s="512">
        <v>72741627</v>
      </c>
      <c r="E35" s="511" t="s">
        <v>532</v>
      </c>
      <c r="F35" s="499">
        <v>3111</v>
      </c>
      <c r="G35" s="514" t="s">
        <v>278</v>
      </c>
      <c r="H35" s="495" t="s">
        <v>263</v>
      </c>
      <c r="I35" s="627">
        <f t="shared" si="3"/>
        <v>0</v>
      </c>
      <c r="J35" s="490">
        <v>0</v>
      </c>
      <c r="K35" s="14">
        <v>0</v>
      </c>
      <c r="L35" s="14">
        <v>0</v>
      </c>
      <c r="M35" s="14">
        <v>0</v>
      </c>
      <c r="N35" s="682">
        <v>0</v>
      </c>
      <c r="O35" s="696">
        <f t="shared" si="4"/>
        <v>0</v>
      </c>
      <c r="P35" s="490">
        <v>595272</v>
      </c>
      <c r="Q35" s="492">
        <v>0</v>
      </c>
      <c r="R35" s="492">
        <v>0</v>
      </c>
      <c r="S35" s="492">
        <v>0</v>
      </c>
      <c r="T35" s="492">
        <v>0</v>
      </c>
      <c r="U35" s="492">
        <f>O35+P35+Q35+R35+S35+T35</f>
        <v>595272</v>
      </c>
      <c r="V35" s="492">
        <v>0</v>
      </c>
      <c r="W35" s="492">
        <v>0</v>
      </c>
      <c r="X35" s="492">
        <v>0</v>
      </c>
      <c r="Y35" s="492">
        <f t="shared" si="42"/>
        <v>0</v>
      </c>
      <c r="Z35" s="492">
        <f t="shared" si="43"/>
        <v>595272</v>
      </c>
      <c r="AA35" s="494">
        <f t="shared" si="44"/>
        <v>201202</v>
      </c>
      <c r="AB35" s="494">
        <f>ROUND(U35*1%,0)</f>
        <v>5953</v>
      </c>
      <c r="AC35" s="14">
        <v>0</v>
      </c>
      <c r="AD35" s="892">
        <f t="shared" si="8"/>
        <v>802427</v>
      </c>
      <c r="AE35" s="702">
        <v>0</v>
      </c>
      <c r="AF35" s="121">
        <v>1.5</v>
      </c>
      <c r="AG35" s="491">
        <v>0</v>
      </c>
      <c r="AH35" s="491">
        <v>0</v>
      </c>
      <c r="AI35" s="491">
        <v>0</v>
      </c>
      <c r="AJ35" s="491">
        <v>0</v>
      </c>
      <c r="AK35" s="626">
        <f>SUM(AE35:AJ35)</f>
        <v>1.5</v>
      </c>
      <c r="AL35" s="696">
        <f>I35+AD35</f>
        <v>802427</v>
      </c>
      <c r="AM35" s="492">
        <f>J35+U35</f>
        <v>595272</v>
      </c>
      <c r="AN35" s="492">
        <f>Y35</f>
        <v>0</v>
      </c>
      <c r="AO35" s="492">
        <f t="shared" si="45"/>
        <v>201202</v>
      </c>
      <c r="AP35" s="492">
        <f t="shared" si="45"/>
        <v>5953</v>
      </c>
      <c r="AQ35" s="578">
        <f t="shared" si="45"/>
        <v>0</v>
      </c>
      <c r="AR35" s="626">
        <f>N35+AK35</f>
        <v>1.5</v>
      </c>
    </row>
    <row r="36" spans="1:44" ht="14.1" customHeight="1" x14ac:dyDescent="0.2">
      <c r="A36" s="510">
        <v>8</v>
      </c>
      <c r="B36" s="508">
        <v>2427</v>
      </c>
      <c r="C36" s="509">
        <v>600079091</v>
      </c>
      <c r="D36" s="508">
        <v>72741627</v>
      </c>
      <c r="E36" s="506" t="s">
        <v>533</v>
      </c>
      <c r="F36" s="510"/>
      <c r="G36" s="506"/>
      <c r="H36" s="505"/>
      <c r="I36" s="629">
        <f t="shared" ref="I36:N36" si="46">SUM(I34:I35)</f>
        <v>4945987</v>
      </c>
      <c r="J36" s="504">
        <f t="shared" si="46"/>
        <v>3669130</v>
      </c>
      <c r="K36" s="504">
        <f t="shared" si="46"/>
        <v>1240166</v>
      </c>
      <c r="L36" s="504">
        <f t="shared" si="46"/>
        <v>36691</v>
      </c>
      <c r="M36" s="504">
        <f t="shared" si="46"/>
        <v>0</v>
      </c>
      <c r="N36" s="885">
        <f t="shared" si="46"/>
        <v>6.2417999999999996</v>
      </c>
      <c r="O36" s="629">
        <f t="shared" ref="O36:AR36" si="47">SUM(O34:O35)</f>
        <v>0</v>
      </c>
      <c r="P36" s="503">
        <f t="shared" si="47"/>
        <v>595272</v>
      </c>
      <c r="Q36" s="503">
        <f t="shared" si="47"/>
        <v>0</v>
      </c>
      <c r="R36" s="503">
        <f t="shared" si="47"/>
        <v>0</v>
      </c>
      <c r="S36" s="503">
        <f t="shared" si="47"/>
        <v>0</v>
      </c>
      <c r="T36" s="503">
        <f t="shared" si="47"/>
        <v>0</v>
      </c>
      <c r="U36" s="503">
        <f t="shared" si="47"/>
        <v>595272</v>
      </c>
      <c r="V36" s="503">
        <f t="shared" si="47"/>
        <v>0</v>
      </c>
      <c r="W36" s="503">
        <f t="shared" si="47"/>
        <v>0</v>
      </c>
      <c r="X36" s="503">
        <f t="shared" si="47"/>
        <v>0</v>
      </c>
      <c r="Y36" s="503">
        <f t="shared" si="47"/>
        <v>0</v>
      </c>
      <c r="Z36" s="503">
        <f t="shared" si="47"/>
        <v>595272</v>
      </c>
      <c r="AA36" s="503">
        <f t="shared" si="47"/>
        <v>201202</v>
      </c>
      <c r="AB36" s="503">
        <f t="shared" si="47"/>
        <v>5953</v>
      </c>
      <c r="AC36" s="503">
        <f t="shared" si="47"/>
        <v>0</v>
      </c>
      <c r="AD36" s="891">
        <f t="shared" si="47"/>
        <v>802427</v>
      </c>
      <c r="AE36" s="701">
        <f t="shared" si="47"/>
        <v>0</v>
      </c>
      <c r="AF36" s="701">
        <f t="shared" si="47"/>
        <v>1.5</v>
      </c>
      <c r="AG36" s="502">
        <f t="shared" si="47"/>
        <v>0</v>
      </c>
      <c r="AH36" s="502">
        <f t="shared" si="47"/>
        <v>0</v>
      </c>
      <c r="AI36" s="502">
        <f t="shared" si="47"/>
        <v>0</v>
      </c>
      <c r="AJ36" s="502">
        <f t="shared" si="47"/>
        <v>0</v>
      </c>
      <c r="AK36" s="630">
        <f t="shared" si="47"/>
        <v>1.5</v>
      </c>
      <c r="AL36" s="629">
        <f t="shared" si="47"/>
        <v>5748414</v>
      </c>
      <c r="AM36" s="503">
        <f t="shared" si="47"/>
        <v>4264402</v>
      </c>
      <c r="AN36" s="552">
        <f t="shared" si="47"/>
        <v>0</v>
      </c>
      <c r="AO36" s="503">
        <f t="shared" si="47"/>
        <v>1441368</v>
      </c>
      <c r="AP36" s="503">
        <f t="shared" si="47"/>
        <v>42644</v>
      </c>
      <c r="AQ36" s="503">
        <f t="shared" si="47"/>
        <v>0</v>
      </c>
      <c r="AR36" s="630">
        <f t="shared" si="47"/>
        <v>7.7417999999999996</v>
      </c>
    </row>
    <row r="37" spans="1:44" ht="14.1" customHeight="1" x14ac:dyDescent="0.2">
      <c r="A37" s="499">
        <v>9</v>
      </c>
      <c r="B37" s="512">
        <v>2327</v>
      </c>
      <c r="C37" s="513">
        <v>691002606</v>
      </c>
      <c r="D37" s="512">
        <v>72076950</v>
      </c>
      <c r="E37" s="511" t="s">
        <v>534</v>
      </c>
      <c r="F37" s="499">
        <v>3111</v>
      </c>
      <c r="G37" s="511" t="s">
        <v>277</v>
      </c>
      <c r="H37" s="495" t="s">
        <v>262</v>
      </c>
      <c r="I37" s="627">
        <f t="shared" si="3"/>
        <v>9112551</v>
      </c>
      <c r="J37" s="14">
        <v>6760052</v>
      </c>
      <c r="K37" s="14">
        <v>2284898</v>
      </c>
      <c r="L37" s="14">
        <v>67601</v>
      </c>
      <c r="M37" s="14">
        <v>0</v>
      </c>
      <c r="N37" s="121">
        <v>11.2096</v>
      </c>
      <c r="O37" s="696">
        <f t="shared" si="4"/>
        <v>0</v>
      </c>
      <c r="P37" s="492">
        <v>0</v>
      </c>
      <c r="Q37" s="492">
        <v>0</v>
      </c>
      <c r="R37" s="492">
        <v>0</v>
      </c>
      <c r="S37" s="492">
        <v>0</v>
      </c>
      <c r="T37" s="492">
        <v>0</v>
      </c>
      <c r="U37" s="492">
        <f>O37+P37+Q37+R37+S37+T37</f>
        <v>0</v>
      </c>
      <c r="V37" s="492">
        <v>0</v>
      </c>
      <c r="W37" s="492">
        <v>0</v>
      </c>
      <c r="X37" s="492">
        <v>0</v>
      </c>
      <c r="Y37" s="492">
        <f t="shared" ref="Y37:Y38" si="48">V37+W37+X37</f>
        <v>0</v>
      </c>
      <c r="Z37" s="492">
        <f t="shared" ref="Z37:Z38" si="49">U37+Y37</f>
        <v>0</v>
      </c>
      <c r="AA37" s="494">
        <f t="shared" ref="AA37:AA38" si="50">ROUND((U37+Y37)*33.8%,0)</f>
        <v>0</v>
      </c>
      <c r="AB37" s="494">
        <f>ROUND(U37*1%,0)</f>
        <v>0</v>
      </c>
      <c r="AC37" s="14">
        <v>0</v>
      </c>
      <c r="AD37" s="892">
        <f t="shared" si="8"/>
        <v>0</v>
      </c>
      <c r="AE37" s="702">
        <v>0</v>
      </c>
      <c r="AF37" s="702">
        <v>0</v>
      </c>
      <c r="AG37" s="491">
        <v>0</v>
      </c>
      <c r="AH37" s="491">
        <v>0</v>
      </c>
      <c r="AI37" s="491">
        <v>0</v>
      </c>
      <c r="AJ37" s="491">
        <v>0</v>
      </c>
      <c r="AK37" s="626">
        <f>SUM(AE37:AJ37)</f>
        <v>0</v>
      </c>
      <c r="AL37" s="696">
        <f>I37+AD37</f>
        <v>9112551</v>
      </c>
      <c r="AM37" s="492">
        <f>J37+U37</f>
        <v>6760052</v>
      </c>
      <c r="AN37" s="492">
        <f>Y37</f>
        <v>0</v>
      </c>
      <c r="AO37" s="492">
        <f t="shared" ref="AO37:AQ38" si="51">K37+AA37</f>
        <v>2284898</v>
      </c>
      <c r="AP37" s="492">
        <f t="shared" si="51"/>
        <v>67601</v>
      </c>
      <c r="AQ37" s="578">
        <f t="shared" si="51"/>
        <v>0</v>
      </c>
      <c r="AR37" s="626">
        <f>N37+AK37</f>
        <v>11.2096</v>
      </c>
    </row>
    <row r="38" spans="1:44" ht="14.1" customHeight="1" x14ac:dyDescent="0.2">
      <c r="A38" s="499">
        <v>9</v>
      </c>
      <c r="B38" s="512">
        <v>2327</v>
      </c>
      <c r="C38" s="513">
        <v>691002606</v>
      </c>
      <c r="D38" s="512">
        <v>72076950</v>
      </c>
      <c r="E38" s="511" t="s">
        <v>534</v>
      </c>
      <c r="F38" s="499">
        <v>3111</v>
      </c>
      <c r="G38" s="514" t="s">
        <v>278</v>
      </c>
      <c r="H38" s="495" t="s">
        <v>263</v>
      </c>
      <c r="I38" s="627">
        <f t="shared" si="3"/>
        <v>0</v>
      </c>
      <c r="J38" s="490">
        <v>0</v>
      </c>
      <c r="K38" s="14">
        <v>0</v>
      </c>
      <c r="L38" s="14">
        <v>0</v>
      </c>
      <c r="M38" s="14">
        <v>0</v>
      </c>
      <c r="N38" s="682">
        <v>0</v>
      </c>
      <c r="O38" s="696">
        <f t="shared" si="4"/>
        <v>0</v>
      </c>
      <c r="P38" s="490">
        <v>198424</v>
      </c>
      <c r="Q38" s="492">
        <v>0</v>
      </c>
      <c r="R38" s="492">
        <v>0</v>
      </c>
      <c r="S38" s="492">
        <v>0</v>
      </c>
      <c r="T38" s="492">
        <v>0</v>
      </c>
      <c r="U38" s="492">
        <f>O38+P38+Q38+R38+S38+T38</f>
        <v>198424</v>
      </c>
      <c r="V38" s="492">
        <v>0</v>
      </c>
      <c r="W38" s="492">
        <v>0</v>
      </c>
      <c r="X38" s="492">
        <v>0</v>
      </c>
      <c r="Y38" s="492">
        <f t="shared" si="48"/>
        <v>0</v>
      </c>
      <c r="Z38" s="492">
        <f t="shared" si="49"/>
        <v>198424</v>
      </c>
      <c r="AA38" s="494">
        <f t="shared" si="50"/>
        <v>67067</v>
      </c>
      <c r="AB38" s="494">
        <f>ROUND(U38*1%,0)</f>
        <v>1984</v>
      </c>
      <c r="AC38" s="14">
        <v>0</v>
      </c>
      <c r="AD38" s="892">
        <f t="shared" si="8"/>
        <v>267475</v>
      </c>
      <c r="AE38" s="702">
        <v>0</v>
      </c>
      <c r="AF38" s="121">
        <v>0.5</v>
      </c>
      <c r="AG38" s="491">
        <v>0</v>
      </c>
      <c r="AH38" s="491">
        <v>0</v>
      </c>
      <c r="AI38" s="491">
        <v>0</v>
      </c>
      <c r="AJ38" s="491">
        <v>0</v>
      </c>
      <c r="AK38" s="626">
        <f>SUM(AE38:AJ38)</f>
        <v>0.5</v>
      </c>
      <c r="AL38" s="696">
        <f>I38+AD38</f>
        <v>267475</v>
      </c>
      <c r="AM38" s="492">
        <f>J38+U38</f>
        <v>198424</v>
      </c>
      <c r="AN38" s="492">
        <f>Y38</f>
        <v>0</v>
      </c>
      <c r="AO38" s="492">
        <f t="shared" si="51"/>
        <v>67067</v>
      </c>
      <c r="AP38" s="492">
        <f t="shared" si="51"/>
        <v>1984</v>
      </c>
      <c r="AQ38" s="578">
        <f t="shared" si="51"/>
        <v>0</v>
      </c>
      <c r="AR38" s="626">
        <f>N38+AK38</f>
        <v>0.5</v>
      </c>
    </row>
    <row r="39" spans="1:44" ht="14.1" customHeight="1" x14ac:dyDescent="0.2">
      <c r="A39" s="510">
        <v>9</v>
      </c>
      <c r="B39" s="508">
        <v>2327</v>
      </c>
      <c r="C39" s="509">
        <v>691002606</v>
      </c>
      <c r="D39" s="508">
        <v>72076950</v>
      </c>
      <c r="E39" s="506" t="s">
        <v>535</v>
      </c>
      <c r="F39" s="510"/>
      <c r="G39" s="506"/>
      <c r="H39" s="505"/>
      <c r="I39" s="629">
        <f t="shared" ref="I39:N39" si="52">SUM(I37:I38)</f>
        <v>9112551</v>
      </c>
      <c r="J39" s="504">
        <f t="shared" si="52"/>
        <v>6760052</v>
      </c>
      <c r="K39" s="504">
        <f t="shared" si="52"/>
        <v>2284898</v>
      </c>
      <c r="L39" s="504">
        <f t="shared" si="52"/>
        <v>67601</v>
      </c>
      <c r="M39" s="504">
        <f t="shared" si="52"/>
        <v>0</v>
      </c>
      <c r="N39" s="885">
        <f t="shared" si="52"/>
        <v>11.2096</v>
      </c>
      <c r="O39" s="629">
        <f t="shared" ref="O39:AR39" si="53">SUM(O37:O38)</f>
        <v>0</v>
      </c>
      <c r="P39" s="503">
        <f t="shared" si="53"/>
        <v>198424</v>
      </c>
      <c r="Q39" s="503">
        <f t="shared" si="53"/>
        <v>0</v>
      </c>
      <c r="R39" s="503">
        <f t="shared" si="53"/>
        <v>0</v>
      </c>
      <c r="S39" s="503">
        <f t="shared" si="53"/>
        <v>0</v>
      </c>
      <c r="T39" s="503">
        <f t="shared" si="53"/>
        <v>0</v>
      </c>
      <c r="U39" s="503">
        <f t="shared" si="53"/>
        <v>198424</v>
      </c>
      <c r="V39" s="503">
        <f t="shared" si="53"/>
        <v>0</v>
      </c>
      <c r="W39" s="503">
        <f t="shared" si="53"/>
        <v>0</v>
      </c>
      <c r="X39" s="503">
        <f t="shared" si="53"/>
        <v>0</v>
      </c>
      <c r="Y39" s="503">
        <f t="shared" si="53"/>
        <v>0</v>
      </c>
      <c r="Z39" s="503">
        <f t="shared" si="53"/>
        <v>198424</v>
      </c>
      <c r="AA39" s="503">
        <f t="shared" si="53"/>
        <v>67067</v>
      </c>
      <c r="AB39" s="503">
        <f t="shared" si="53"/>
        <v>1984</v>
      </c>
      <c r="AC39" s="503">
        <f t="shared" si="53"/>
        <v>0</v>
      </c>
      <c r="AD39" s="891">
        <f t="shared" si="53"/>
        <v>267475</v>
      </c>
      <c r="AE39" s="701">
        <f t="shared" si="53"/>
        <v>0</v>
      </c>
      <c r="AF39" s="701">
        <f t="shared" si="53"/>
        <v>0.5</v>
      </c>
      <c r="AG39" s="502">
        <f t="shared" si="53"/>
        <v>0</v>
      </c>
      <c r="AH39" s="502">
        <f t="shared" si="53"/>
        <v>0</v>
      </c>
      <c r="AI39" s="502">
        <f t="shared" si="53"/>
        <v>0</v>
      </c>
      <c r="AJ39" s="502">
        <f t="shared" si="53"/>
        <v>0</v>
      </c>
      <c r="AK39" s="630">
        <f t="shared" si="53"/>
        <v>0.5</v>
      </c>
      <c r="AL39" s="629">
        <f t="shared" si="53"/>
        <v>9380026</v>
      </c>
      <c r="AM39" s="503">
        <f t="shared" si="53"/>
        <v>6958476</v>
      </c>
      <c r="AN39" s="552">
        <f t="shared" si="53"/>
        <v>0</v>
      </c>
      <c r="AO39" s="503">
        <f t="shared" si="53"/>
        <v>2351965</v>
      </c>
      <c r="AP39" s="503">
        <f t="shared" si="53"/>
        <v>69585</v>
      </c>
      <c r="AQ39" s="503">
        <f t="shared" si="53"/>
        <v>0</v>
      </c>
      <c r="AR39" s="630">
        <f t="shared" si="53"/>
        <v>11.7096</v>
      </c>
    </row>
    <row r="40" spans="1:44" ht="14.1" customHeight="1" x14ac:dyDescent="0.2">
      <c r="A40" s="499">
        <v>10</v>
      </c>
      <c r="B40" s="512">
        <v>2321</v>
      </c>
      <c r="C40" s="513">
        <v>600079287</v>
      </c>
      <c r="D40" s="512">
        <v>72742976</v>
      </c>
      <c r="E40" s="511" t="s">
        <v>536</v>
      </c>
      <c r="F40" s="499">
        <v>3111</v>
      </c>
      <c r="G40" s="511" t="s">
        <v>277</v>
      </c>
      <c r="H40" s="495" t="s">
        <v>262</v>
      </c>
      <c r="I40" s="627">
        <f t="shared" si="3"/>
        <v>8792717</v>
      </c>
      <c r="J40" s="14">
        <v>6522787</v>
      </c>
      <c r="K40" s="14">
        <v>2204702</v>
      </c>
      <c r="L40" s="14">
        <v>65228</v>
      </c>
      <c r="M40" s="14">
        <v>0</v>
      </c>
      <c r="N40" s="121">
        <v>10.451599999999999</v>
      </c>
      <c r="O40" s="696">
        <f t="shared" si="4"/>
        <v>0</v>
      </c>
      <c r="P40" s="492">
        <v>0</v>
      </c>
      <c r="Q40" s="492">
        <v>0</v>
      </c>
      <c r="R40" s="492">
        <v>0</v>
      </c>
      <c r="S40" s="492">
        <v>0</v>
      </c>
      <c r="T40" s="492">
        <v>0</v>
      </c>
      <c r="U40" s="492">
        <f>O40+P40+Q40+R40+S40+T40</f>
        <v>0</v>
      </c>
      <c r="V40" s="492">
        <v>0</v>
      </c>
      <c r="W40" s="492">
        <v>0</v>
      </c>
      <c r="X40" s="492">
        <v>0</v>
      </c>
      <c r="Y40" s="492">
        <f t="shared" ref="Y40" si="54">V40+W40+X40</f>
        <v>0</v>
      </c>
      <c r="Z40" s="492">
        <f t="shared" ref="Z40" si="55">U40+Y40</f>
        <v>0</v>
      </c>
      <c r="AA40" s="494">
        <f t="shared" ref="AA40" si="56">ROUND((U40+Y40)*33.8%,0)</f>
        <v>0</v>
      </c>
      <c r="AB40" s="494">
        <f>ROUND(U40*1%,0)</f>
        <v>0</v>
      </c>
      <c r="AC40" s="14">
        <v>0</v>
      </c>
      <c r="AD40" s="892">
        <f t="shared" si="8"/>
        <v>0</v>
      </c>
      <c r="AE40" s="702">
        <v>0</v>
      </c>
      <c r="AF40" s="702">
        <v>0</v>
      </c>
      <c r="AG40" s="491">
        <v>0</v>
      </c>
      <c r="AH40" s="491">
        <v>0</v>
      </c>
      <c r="AI40" s="491">
        <v>0</v>
      </c>
      <c r="AJ40" s="491">
        <v>0</v>
      </c>
      <c r="AK40" s="626">
        <f>SUM(AE40:AJ40)</f>
        <v>0</v>
      </c>
      <c r="AL40" s="696">
        <f>I40+AD40</f>
        <v>8792717</v>
      </c>
      <c r="AM40" s="492">
        <f>J40+U40</f>
        <v>6522787</v>
      </c>
      <c r="AN40" s="492">
        <f>Y40</f>
        <v>0</v>
      </c>
      <c r="AO40" s="492">
        <f>K40+AA40</f>
        <v>2204702</v>
      </c>
      <c r="AP40" s="492">
        <f>L40+AB40</f>
        <v>65228</v>
      </c>
      <c r="AQ40" s="578">
        <f>M40+AC40</f>
        <v>0</v>
      </c>
      <c r="AR40" s="626">
        <f>N40+AK40</f>
        <v>10.451599999999999</v>
      </c>
    </row>
    <row r="41" spans="1:44" ht="14.1" customHeight="1" x14ac:dyDescent="0.2">
      <c r="A41" s="510">
        <v>10</v>
      </c>
      <c r="B41" s="508">
        <v>2321</v>
      </c>
      <c r="C41" s="509">
        <v>600079287</v>
      </c>
      <c r="D41" s="508">
        <v>72742976</v>
      </c>
      <c r="E41" s="506" t="s">
        <v>537</v>
      </c>
      <c r="F41" s="510"/>
      <c r="G41" s="506"/>
      <c r="H41" s="505"/>
      <c r="I41" s="629">
        <f t="shared" ref="I41:N41" si="57">SUM(I40:I40)</f>
        <v>8792717</v>
      </c>
      <c r="J41" s="504">
        <f t="shared" si="57"/>
        <v>6522787</v>
      </c>
      <c r="K41" s="504">
        <f t="shared" si="57"/>
        <v>2204702</v>
      </c>
      <c r="L41" s="504">
        <f t="shared" si="57"/>
        <v>65228</v>
      </c>
      <c r="M41" s="504">
        <f t="shared" si="57"/>
        <v>0</v>
      </c>
      <c r="N41" s="885">
        <f t="shared" si="57"/>
        <v>10.451599999999999</v>
      </c>
      <c r="O41" s="629">
        <f t="shared" ref="O41:AR41" si="58">SUM(O40:O40)</f>
        <v>0</v>
      </c>
      <c r="P41" s="503">
        <f t="shared" si="58"/>
        <v>0</v>
      </c>
      <c r="Q41" s="503">
        <f t="shared" si="58"/>
        <v>0</v>
      </c>
      <c r="R41" s="503">
        <f t="shared" si="58"/>
        <v>0</v>
      </c>
      <c r="S41" s="503">
        <f t="shared" si="58"/>
        <v>0</v>
      </c>
      <c r="T41" s="503">
        <f t="shared" si="58"/>
        <v>0</v>
      </c>
      <c r="U41" s="503">
        <f t="shared" si="58"/>
        <v>0</v>
      </c>
      <c r="V41" s="503">
        <f t="shared" si="58"/>
        <v>0</v>
      </c>
      <c r="W41" s="503">
        <f t="shared" si="58"/>
        <v>0</v>
      </c>
      <c r="X41" s="503">
        <f t="shared" si="58"/>
        <v>0</v>
      </c>
      <c r="Y41" s="503">
        <f t="shared" si="58"/>
        <v>0</v>
      </c>
      <c r="Z41" s="503">
        <f t="shared" si="58"/>
        <v>0</v>
      </c>
      <c r="AA41" s="503">
        <f t="shared" si="58"/>
        <v>0</v>
      </c>
      <c r="AB41" s="503">
        <f t="shared" si="58"/>
        <v>0</v>
      </c>
      <c r="AC41" s="503">
        <f t="shared" si="58"/>
        <v>0</v>
      </c>
      <c r="AD41" s="891">
        <f t="shared" si="58"/>
        <v>0</v>
      </c>
      <c r="AE41" s="701">
        <f t="shared" si="58"/>
        <v>0</v>
      </c>
      <c r="AF41" s="701">
        <f t="shared" si="58"/>
        <v>0</v>
      </c>
      <c r="AG41" s="502">
        <f t="shared" si="58"/>
        <v>0</v>
      </c>
      <c r="AH41" s="502">
        <f t="shared" si="58"/>
        <v>0</v>
      </c>
      <c r="AI41" s="502">
        <f t="shared" si="58"/>
        <v>0</v>
      </c>
      <c r="AJ41" s="502">
        <f t="shared" si="58"/>
        <v>0</v>
      </c>
      <c r="AK41" s="630">
        <f t="shared" si="58"/>
        <v>0</v>
      </c>
      <c r="AL41" s="629">
        <f t="shared" si="58"/>
        <v>8792717</v>
      </c>
      <c r="AM41" s="503">
        <f t="shared" si="58"/>
        <v>6522787</v>
      </c>
      <c r="AN41" s="552">
        <f t="shared" si="58"/>
        <v>0</v>
      </c>
      <c r="AO41" s="503">
        <f t="shared" si="58"/>
        <v>2204702</v>
      </c>
      <c r="AP41" s="503">
        <f t="shared" si="58"/>
        <v>65228</v>
      </c>
      <c r="AQ41" s="503">
        <f t="shared" si="58"/>
        <v>0</v>
      </c>
      <c r="AR41" s="630">
        <f t="shared" si="58"/>
        <v>10.451599999999999</v>
      </c>
    </row>
    <row r="42" spans="1:44" ht="14.1" customHeight="1" x14ac:dyDescent="0.2">
      <c r="A42" s="499">
        <v>11</v>
      </c>
      <c r="B42" s="512">
        <v>2423</v>
      </c>
      <c r="C42" s="513">
        <v>600079368</v>
      </c>
      <c r="D42" s="512">
        <v>72742828</v>
      </c>
      <c r="E42" s="511" t="s">
        <v>538</v>
      </c>
      <c r="F42" s="499">
        <v>3111</v>
      </c>
      <c r="G42" s="511" t="s">
        <v>277</v>
      </c>
      <c r="H42" s="495" t="s">
        <v>262</v>
      </c>
      <c r="I42" s="627">
        <f t="shared" si="3"/>
        <v>3547190</v>
      </c>
      <c r="J42" s="14">
        <v>2631447</v>
      </c>
      <c r="K42" s="14">
        <v>889429</v>
      </c>
      <c r="L42" s="14">
        <v>26314</v>
      </c>
      <c r="M42" s="14">
        <v>0</v>
      </c>
      <c r="N42" s="121">
        <v>4.2257999999999996</v>
      </c>
      <c r="O42" s="696">
        <f t="shared" si="4"/>
        <v>-20000</v>
      </c>
      <c r="P42" s="492">
        <v>0</v>
      </c>
      <c r="Q42" s="492">
        <v>0</v>
      </c>
      <c r="R42" s="492">
        <v>0</v>
      </c>
      <c r="S42" s="492">
        <v>0</v>
      </c>
      <c r="T42" s="492">
        <v>0</v>
      </c>
      <c r="U42" s="492">
        <f>O42+P42+Q42+R42+S42+T42</f>
        <v>-20000</v>
      </c>
      <c r="V42" s="492">
        <v>20000</v>
      </c>
      <c r="W42" s="492">
        <v>0</v>
      </c>
      <c r="X42" s="492">
        <v>0</v>
      </c>
      <c r="Y42" s="492">
        <f t="shared" ref="Y42" si="59">V42+W42+X42</f>
        <v>20000</v>
      </c>
      <c r="Z42" s="492">
        <f t="shared" ref="Z42" si="60">U42+Y42</f>
        <v>0</v>
      </c>
      <c r="AA42" s="494">
        <f t="shared" ref="AA42" si="61">ROUND((U42+Y42)*33.8%,0)</f>
        <v>0</v>
      </c>
      <c r="AB42" s="494">
        <f>ROUND(U42*1%,0)</f>
        <v>-200</v>
      </c>
      <c r="AC42" s="14">
        <v>0</v>
      </c>
      <c r="AD42" s="892">
        <f t="shared" si="8"/>
        <v>-200</v>
      </c>
      <c r="AE42" s="702">
        <v>-0.03</v>
      </c>
      <c r="AF42" s="702">
        <v>0</v>
      </c>
      <c r="AG42" s="491">
        <v>0</v>
      </c>
      <c r="AH42" s="491">
        <v>0</v>
      </c>
      <c r="AI42" s="491">
        <v>0</v>
      </c>
      <c r="AJ42" s="491">
        <v>0</v>
      </c>
      <c r="AK42" s="626">
        <f>SUM(AE42:AJ42)</f>
        <v>-0.03</v>
      </c>
      <c r="AL42" s="696">
        <f>I42+AD42</f>
        <v>3546990</v>
      </c>
      <c r="AM42" s="492">
        <f>J42+U42</f>
        <v>2611447</v>
      </c>
      <c r="AN42" s="492">
        <f>Y42</f>
        <v>20000</v>
      </c>
      <c r="AO42" s="492">
        <f>K42+AA42</f>
        <v>889429</v>
      </c>
      <c r="AP42" s="492">
        <f>L42+AB42</f>
        <v>26114</v>
      </c>
      <c r="AQ42" s="578">
        <f>M42+AC42</f>
        <v>0</v>
      </c>
      <c r="AR42" s="626">
        <f>N42+AK42</f>
        <v>4.1957999999999993</v>
      </c>
    </row>
    <row r="43" spans="1:44" ht="14.1" customHeight="1" x14ac:dyDescent="0.2">
      <c r="A43" s="510">
        <v>11</v>
      </c>
      <c r="B43" s="508">
        <v>2423</v>
      </c>
      <c r="C43" s="509">
        <v>600079368</v>
      </c>
      <c r="D43" s="508">
        <v>72742828</v>
      </c>
      <c r="E43" s="506" t="s">
        <v>539</v>
      </c>
      <c r="F43" s="510"/>
      <c r="G43" s="506"/>
      <c r="H43" s="505"/>
      <c r="I43" s="629">
        <f t="shared" ref="I43:N43" si="62">SUM(I42:I42)</f>
        <v>3547190</v>
      </c>
      <c r="J43" s="504">
        <f t="shared" si="62"/>
        <v>2631447</v>
      </c>
      <c r="K43" s="504">
        <f t="shared" si="62"/>
        <v>889429</v>
      </c>
      <c r="L43" s="504">
        <f t="shared" si="62"/>
        <v>26314</v>
      </c>
      <c r="M43" s="504">
        <f t="shared" si="62"/>
        <v>0</v>
      </c>
      <c r="N43" s="885">
        <f t="shared" si="62"/>
        <v>4.2257999999999996</v>
      </c>
      <c r="O43" s="629">
        <f t="shared" ref="O43:AR43" si="63">SUM(O42:O42)</f>
        <v>-20000</v>
      </c>
      <c r="P43" s="503">
        <f t="shared" si="63"/>
        <v>0</v>
      </c>
      <c r="Q43" s="503">
        <f t="shared" si="63"/>
        <v>0</v>
      </c>
      <c r="R43" s="503">
        <f t="shared" si="63"/>
        <v>0</v>
      </c>
      <c r="S43" s="503">
        <f t="shared" si="63"/>
        <v>0</v>
      </c>
      <c r="T43" s="503">
        <f t="shared" si="63"/>
        <v>0</v>
      </c>
      <c r="U43" s="503">
        <f t="shared" si="63"/>
        <v>-20000</v>
      </c>
      <c r="V43" s="503">
        <f t="shared" si="63"/>
        <v>20000</v>
      </c>
      <c r="W43" s="503">
        <f t="shared" si="63"/>
        <v>0</v>
      </c>
      <c r="X43" s="503">
        <f t="shared" si="63"/>
        <v>0</v>
      </c>
      <c r="Y43" s="503">
        <f t="shared" si="63"/>
        <v>20000</v>
      </c>
      <c r="Z43" s="503">
        <f t="shared" si="63"/>
        <v>0</v>
      </c>
      <c r="AA43" s="503">
        <f t="shared" si="63"/>
        <v>0</v>
      </c>
      <c r="AB43" s="503">
        <f t="shared" si="63"/>
        <v>-200</v>
      </c>
      <c r="AC43" s="503">
        <f t="shared" si="63"/>
        <v>0</v>
      </c>
      <c r="AD43" s="891">
        <f t="shared" si="63"/>
        <v>-200</v>
      </c>
      <c r="AE43" s="701">
        <f t="shared" si="63"/>
        <v>-0.03</v>
      </c>
      <c r="AF43" s="701">
        <f t="shared" si="63"/>
        <v>0</v>
      </c>
      <c r="AG43" s="502">
        <f t="shared" si="63"/>
        <v>0</v>
      </c>
      <c r="AH43" s="502">
        <f t="shared" si="63"/>
        <v>0</v>
      </c>
      <c r="AI43" s="502">
        <f t="shared" si="63"/>
        <v>0</v>
      </c>
      <c r="AJ43" s="502">
        <f t="shared" si="63"/>
        <v>0</v>
      </c>
      <c r="AK43" s="630">
        <f t="shared" si="63"/>
        <v>-0.03</v>
      </c>
      <c r="AL43" s="629">
        <f t="shared" si="63"/>
        <v>3546990</v>
      </c>
      <c r="AM43" s="503">
        <f t="shared" si="63"/>
        <v>2611447</v>
      </c>
      <c r="AN43" s="552">
        <f t="shared" si="63"/>
        <v>20000</v>
      </c>
      <c r="AO43" s="503">
        <f t="shared" si="63"/>
        <v>889429</v>
      </c>
      <c r="AP43" s="503">
        <f t="shared" si="63"/>
        <v>26114</v>
      </c>
      <c r="AQ43" s="503">
        <f t="shared" si="63"/>
        <v>0</v>
      </c>
      <c r="AR43" s="630">
        <f t="shared" si="63"/>
        <v>4.1957999999999993</v>
      </c>
    </row>
    <row r="44" spans="1:44" ht="14.1" customHeight="1" x14ac:dyDescent="0.2">
      <c r="A44" s="499">
        <v>12</v>
      </c>
      <c r="B44" s="512">
        <v>2428</v>
      </c>
      <c r="C44" s="513">
        <v>600079112</v>
      </c>
      <c r="D44" s="512">
        <v>72743140</v>
      </c>
      <c r="E44" s="511" t="s">
        <v>540</v>
      </c>
      <c r="F44" s="499">
        <v>3111</v>
      </c>
      <c r="G44" s="511" t="s">
        <v>277</v>
      </c>
      <c r="H44" s="495" t="s">
        <v>262</v>
      </c>
      <c r="I44" s="627">
        <f t="shared" si="3"/>
        <v>7354366</v>
      </c>
      <c r="J44" s="14">
        <v>5455761</v>
      </c>
      <c r="K44" s="14">
        <v>1844047</v>
      </c>
      <c r="L44" s="14">
        <v>54558</v>
      </c>
      <c r="M44" s="14">
        <v>0</v>
      </c>
      <c r="N44" s="121">
        <v>8.7742000000000004</v>
      </c>
      <c r="O44" s="696">
        <f t="shared" si="4"/>
        <v>0</v>
      </c>
      <c r="P44" s="492">
        <v>0</v>
      </c>
      <c r="Q44" s="492">
        <v>0</v>
      </c>
      <c r="R44" s="492">
        <v>0</v>
      </c>
      <c r="S44" s="492">
        <v>0</v>
      </c>
      <c r="T44" s="492">
        <v>0</v>
      </c>
      <c r="U44" s="492">
        <f>O44+P44+Q44+R44+S44+T44</f>
        <v>0</v>
      </c>
      <c r="V44" s="492">
        <v>0</v>
      </c>
      <c r="W44" s="492">
        <v>0</v>
      </c>
      <c r="X44" s="492">
        <v>0</v>
      </c>
      <c r="Y44" s="492">
        <f t="shared" ref="Y44" si="64">V44+W44+X44</f>
        <v>0</v>
      </c>
      <c r="Z44" s="492">
        <f t="shared" ref="Z44" si="65">U44+Y44</f>
        <v>0</v>
      </c>
      <c r="AA44" s="494">
        <f t="shared" ref="AA44" si="66">ROUND((U44+Y44)*33.8%,0)</f>
        <v>0</v>
      </c>
      <c r="AB44" s="494">
        <f>ROUND(U44*1%,0)</f>
        <v>0</v>
      </c>
      <c r="AC44" s="14">
        <v>0</v>
      </c>
      <c r="AD44" s="892">
        <f t="shared" si="8"/>
        <v>0</v>
      </c>
      <c r="AE44" s="702">
        <v>0</v>
      </c>
      <c r="AF44" s="702">
        <v>0</v>
      </c>
      <c r="AG44" s="491">
        <v>0</v>
      </c>
      <c r="AH44" s="491">
        <v>0</v>
      </c>
      <c r="AI44" s="491">
        <v>0</v>
      </c>
      <c r="AJ44" s="491">
        <v>0</v>
      </c>
      <c r="AK44" s="626">
        <f>SUM(AE44:AJ44)</f>
        <v>0</v>
      </c>
      <c r="AL44" s="696">
        <f>I44+AD44</f>
        <v>7354366</v>
      </c>
      <c r="AM44" s="492">
        <f>J44+U44</f>
        <v>5455761</v>
      </c>
      <c r="AN44" s="492">
        <f>Y44</f>
        <v>0</v>
      </c>
      <c r="AO44" s="492">
        <f>K44+AA44</f>
        <v>1844047</v>
      </c>
      <c r="AP44" s="492">
        <f>L44+AB44</f>
        <v>54558</v>
      </c>
      <c r="AQ44" s="578">
        <f>M44+AC44</f>
        <v>0</v>
      </c>
      <c r="AR44" s="626">
        <f>N44+AK44</f>
        <v>8.7742000000000004</v>
      </c>
    </row>
    <row r="45" spans="1:44" ht="14.1" customHeight="1" x14ac:dyDescent="0.2">
      <c r="A45" s="510">
        <v>12</v>
      </c>
      <c r="B45" s="508">
        <v>2428</v>
      </c>
      <c r="C45" s="509">
        <v>600079112</v>
      </c>
      <c r="D45" s="508">
        <v>72743140</v>
      </c>
      <c r="E45" s="506" t="s">
        <v>541</v>
      </c>
      <c r="F45" s="510"/>
      <c r="G45" s="506"/>
      <c r="H45" s="505"/>
      <c r="I45" s="629">
        <f t="shared" ref="I45:N45" si="67">SUM(I44:I44)</f>
        <v>7354366</v>
      </c>
      <c r="J45" s="504">
        <f t="shared" si="67"/>
        <v>5455761</v>
      </c>
      <c r="K45" s="504">
        <f t="shared" si="67"/>
        <v>1844047</v>
      </c>
      <c r="L45" s="504">
        <f t="shared" si="67"/>
        <v>54558</v>
      </c>
      <c r="M45" s="504">
        <f t="shared" si="67"/>
        <v>0</v>
      </c>
      <c r="N45" s="885">
        <f t="shared" si="67"/>
        <v>8.7742000000000004</v>
      </c>
      <c r="O45" s="629">
        <f t="shared" ref="O45:AR45" si="68">SUM(O44:O44)</f>
        <v>0</v>
      </c>
      <c r="P45" s="503">
        <f t="shared" si="68"/>
        <v>0</v>
      </c>
      <c r="Q45" s="503">
        <f t="shared" si="68"/>
        <v>0</v>
      </c>
      <c r="R45" s="503">
        <f t="shared" si="68"/>
        <v>0</v>
      </c>
      <c r="S45" s="503">
        <f t="shared" si="68"/>
        <v>0</v>
      </c>
      <c r="T45" s="503">
        <f t="shared" si="68"/>
        <v>0</v>
      </c>
      <c r="U45" s="503">
        <f t="shared" si="68"/>
        <v>0</v>
      </c>
      <c r="V45" s="503">
        <f t="shared" si="68"/>
        <v>0</v>
      </c>
      <c r="W45" s="503">
        <f t="shared" si="68"/>
        <v>0</v>
      </c>
      <c r="X45" s="503">
        <f t="shared" si="68"/>
        <v>0</v>
      </c>
      <c r="Y45" s="503">
        <f t="shared" si="68"/>
        <v>0</v>
      </c>
      <c r="Z45" s="503">
        <f t="shared" si="68"/>
        <v>0</v>
      </c>
      <c r="AA45" s="503">
        <f t="shared" si="68"/>
        <v>0</v>
      </c>
      <c r="AB45" s="503">
        <f t="shared" si="68"/>
        <v>0</v>
      </c>
      <c r="AC45" s="503">
        <f t="shared" si="68"/>
        <v>0</v>
      </c>
      <c r="AD45" s="891">
        <f t="shared" si="68"/>
        <v>0</v>
      </c>
      <c r="AE45" s="701">
        <f t="shared" si="68"/>
        <v>0</v>
      </c>
      <c r="AF45" s="701">
        <f t="shared" si="68"/>
        <v>0</v>
      </c>
      <c r="AG45" s="502">
        <f t="shared" si="68"/>
        <v>0</v>
      </c>
      <c r="AH45" s="502">
        <f t="shared" si="68"/>
        <v>0</v>
      </c>
      <c r="AI45" s="502">
        <f t="shared" si="68"/>
        <v>0</v>
      </c>
      <c r="AJ45" s="502">
        <f t="shared" si="68"/>
        <v>0</v>
      </c>
      <c r="AK45" s="630">
        <f t="shared" si="68"/>
        <v>0</v>
      </c>
      <c r="AL45" s="629">
        <f t="shared" si="68"/>
        <v>7354366</v>
      </c>
      <c r="AM45" s="503">
        <f t="shared" si="68"/>
        <v>5455761</v>
      </c>
      <c r="AN45" s="552">
        <f t="shared" si="68"/>
        <v>0</v>
      </c>
      <c r="AO45" s="503">
        <f t="shared" si="68"/>
        <v>1844047</v>
      </c>
      <c r="AP45" s="503">
        <f t="shared" si="68"/>
        <v>54558</v>
      </c>
      <c r="AQ45" s="503">
        <f t="shared" si="68"/>
        <v>0</v>
      </c>
      <c r="AR45" s="630">
        <f t="shared" si="68"/>
        <v>8.7742000000000004</v>
      </c>
    </row>
    <row r="46" spans="1:44" ht="14.1" customHeight="1" x14ac:dyDescent="0.2">
      <c r="A46" s="499">
        <v>13</v>
      </c>
      <c r="B46" s="512">
        <v>2413</v>
      </c>
      <c r="C46" s="513">
        <v>600079601</v>
      </c>
      <c r="D46" s="512">
        <v>72742909</v>
      </c>
      <c r="E46" s="511" t="s">
        <v>542</v>
      </c>
      <c r="F46" s="499">
        <v>3111</v>
      </c>
      <c r="G46" s="511" t="s">
        <v>277</v>
      </c>
      <c r="H46" s="495" t="s">
        <v>262</v>
      </c>
      <c r="I46" s="627">
        <f t="shared" si="3"/>
        <v>4969207</v>
      </c>
      <c r="J46" s="14">
        <v>3686355</v>
      </c>
      <c r="K46" s="14">
        <v>1245988</v>
      </c>
      <c r="L46" s="14">
        <v>36864</v>
      </c>
      <c r="M46" s="14">
        <v>0</v>
      </c>
      <c r="N46" s="121">
        <v>6.2417999999999996</v>
      </c>
      <c r="O46" s="696">
        <f t="shared" si="4"/>
        <v>0</v>
      </c>
      <c r="P46" s="492">
        <v>0</v>
      </c>
      <c r="Q46" s="492">
        <v>0</v>
      </c>
      <c r="R46" s="492">
        <v>0</v>
      </c>
      <c r="S46" s="492">
        <v>0</v>
      </c>
      <c r="T46" s="492">
        <v>0</v>
      </c>
      <c r="U46" s="492">
        <f>O46+P46+Q46+R46+S46+T46</f>
        <v>0</v>
      </c>
      <c r="V46" s="492">
        <v>0</v>
      </c>
      <c r="W46" s="492">
        <v>0</v>
      </c>
      <c r="X46" s="492">
        <v>0</v>
      </c>
      <c r="Y46" s="492">
        <f t="shared" ref="Y46:Y47" si="69">V46+W46+X46</f>
        <v>0</v>
      </c>
      <c r="Z46" s="492">
        <f t="shared" ref="Z46:Z47" si="70">U46+Y46</f>
        <v>0</v>
      </c>
      <c r="AA46" s="494">
        <f t="shared" ref="AA46:AA47" si="71">ROUND((U46+Y46)*33.8%,0)</f>
        <v>0</v>
      </c>
      <c r="AB46" s="494">
        <f>ROUND(U46*1%,0)</f>
        <v>0</v>
      </c>
      <c r="AC46" s="14">
        <v>0</v>
      </c>
      <c r="AD46" s="892">
        <f t="shared" si="8"/>
        <v>0</v>
      </c>
      <c r="AE46" s="702">
        <v>0</v>
      </c>
      <c r="AF46" s="702">
        <v>0</v>
      </c>
      <c r="AG46" s="491">
        <v>0</v>
      </c>
      <c r="AH46" s="491">
        <v>0</v>
      </c>
      <c r="AI46" s="491">
        <v>0</v>
      </c>
      <c r="AJ46" s="491">
        <v>0</v>
      </c>
      <c r="AK46" s="626">
        <f>SUM(AE46:AJ46)</f>
        <v>0</v>
      </c>
      <c r="AL46" s="696">
        <f>I46+AD46</f>
        <v>4969207</v>
      </c>
      <c r="AM46" s="492">
        <f>J46+U46</f>
        <v>3686355</v>
      </c>
      <c r="AN46" s="492">
        <f>Y46</f>
        <v>0</v>
      </c>
      <c r="AO46" s="492">
        <f t="shared" ref="AO46:AQ47" si="72">K46+AA46</f>
        <v>1245988</v>
      </c>
      <c r="AP46" s="492">
        <f t="shared" si="72"/>
        <v>36864</v>
      </c>
      <c r="AQ46" s="578">
        <f t="shared" si="72"/>
        <v>0</v>
      </c>
      <c r="AR46" s="626">
        <f>N46+AK46</f>
        <v>6.2417999999999996</v>
      </c>
    </row>
    <row r="47" spans="1:44" ht="14.1" customHeight="1" x14ac:dyDescent="0.2">
      <c r="A47" s="499">
        <v>13</v>
      </c>
      <c r="B47" s="512">
        <v>2413</v>
      </c>
      <c r="C47" s="513">
        <v>600079601</v>
      </c>
      <c r="D47" s="512">
        <v>72742909</v>
      </c>
      <c r="E47" s="511" t="s">
        <v>542</v>
      </c>
      <c r="F47" s="499">
        <v>3111</v>
      </c>
      <c r="G47" s="514" t="s">
        <v>278</v>
      </c>
      <c r="H47" s="495" t="s">
        <v>263</v>
      </c>
      <c r="I47" s="627">
        <f t="shared" si="3"/>
        <v>0</v>
      </c>
      <c r="J47" s="490">
        <v>0</v>
      </c>
      <c r="K47" s="14">
        <v>0</v>
      </c>
      <c r="L47" s="14">
        <v>0</v>
      </c>
      <c r="M47" s="14">
        <v>0</v>
      </c>
      <c r="N47" s="682">
        <v>0</v>
      </c>
      <c r="O47" s="696">
        <f t="shared" si="4"/>
        <v>0</v>
      </c>
      <c r="P47" s="490">
        <v>198424</v>
      </c>
      <c r="Q47" s="492">
        <v>0</v>
      </c>
      <c r="R47" s="492">
        <v>0</v>
      </c>
      <c r="S47" s="492">
        <v>0</v>
      </c>
      <c r="T47" s="492">
        <v>0</v>
      </c>
      <c r="U47" s="492">
        <f>O47+P47+Q47+R47+S47+T47</f>
        <v>198424</v>
      </c>
      <c r="V47" s="492">
        <v>0</v>
      </c>
      <c r="W47" s="492">
        <v>0</v>
      </c>
      <c r="X47" s="492">
        <v>0</v>
      </c>
      <c r="Y47" s="492">
        <f t="shared" si="69"/>
        <v>0</v>
      </c>
      <c r="Z47" s="492">
        <f t="shared" si="70"/>
        <v>198424</v>
      </c>
      <c r="AA47" s="494">
        <f t="shared" si="71"/>
        <v>67067</v>
      </c>
      <c r="AB47" s="494">
        <f>ROUND(U47*1%,0)</f>
        <v>1984</v>
      </c>
      <c r="AC47" s="14">
        <v>0</v>
      </c>
      <c r="AD47" s="892">
        <f t="shared" si="8"/>
        <v>267475</v>
      </c>
      <c r="AE47" s="702">
        <v>0</v>
      </c>
      <c r="AF47" s="121">
        <v>0.5</v>
      </c>
      <c r="AG47" s="491">
        <v>0</v>
      </c>
      <c r="AH47" s="491">
        <v>0</v>
      </c>
      <c r="AI47" s="491">
        <v>0</v>
      </c>
      <c r="AJ47" s="491">
        <v>0</v>
      </c>
      <c r="AK47" s="626">
        <f>SUM(AE47:AJ47)</f>
        <v>0.5</v>
      </c>
      <c r="AL47" s="696">
        <f>I47+AD47</f>
        <v>267475</v>
      </c>
      <c r="AM47" s="492">
        <f>J47+U47</f>
        <v>198424</v>
      </c>
      <c r="AN47" s="492">
        <f>Y47</f>
        <v>0</v>
      </c>
      <c r="AO47" s="492">
        <f t="shared" si="72"/>
        <v>67067</v>
      </c>
      <c r="AP47" s="492">
        <f t="shared" si="72"/>
        <v>1984</v>
      </c>
      <c r="AQ47" s="578">
        <f t="shared" si="72"/>
        <v>0</v>
      </c>
      <c r="AR47" s="626">
        <f>N47+AK47</f>
        <v>0.5</v>
      </c>
    </row>
    <row r="48" spans="1:44" ht="14.1" customHeight="1" x14ac:dyDescent="0.2">
      <c r="A48" s="510">
        <v>13</v>
      </c>
      <c r="B48" s="508">
        <v>2413</v>
      </c>
      <c r="C48" s="509">
        <v>600079601</v>
      </c>
      <c r="D48" s="508">
        <v>72742909</v>
      </c>
      <c r="E48" s="506" t="s">
        <v>543</v>
      </c>
      <c r="F48" s="510"/>
      <c r="G48" s="506"/>
      <c r="H48" s="505"/>
      <c r="I48" s="629">
        <f t="shared" ref="I48:N48" si="73">SUM(I46:I47)</f>
        <v>4969207</v>
      </c>
      <c r="J48" s="504">
        <f t="shared" si="73"/>
        <v>3686355</v>
      </c>
      <c r="K48" s="504">
        <f t="shared" si="73"/>
        <v>1245988</v>
      </c>
      <c r="L48" s="504">
        <f t="shared" si="73"/>
        <v>36864</v>
      </c>
      <c r="M48" s="504">
        <f t="shared" si="73"/>
        <v>0</v>
      </c>
      <c r="N48" s="885">
        <f t="shared" si="73"/>
        <v>6.2417999999999996</v>
      </c>
      <c r="O48" s="629">
        <f t="shared" ref="O48:AR48" si="74">SUM(O46:O47)</f>
        <v>0</v>
      </c>
      <c r="P48" s="503">
        <f t="shared" si="74"/>
        <v>198424</v>
      </c>
      <c r="Q48" s="503">
        <f t="shared" si="74"/>
        <v>0</v>
      </c>
      <c r="R48" s="503">
        <f t="shared" si="74"/>
        <v>0</v>
      </c>
      <c r="S48" s="503">
        <f t="shared" si="74"/>
        <v>0</v>
      </c>
      <c r="T48" s="503">
        <f t="shared" si="74"/>
        <v>0</v>
      </c>
      <c r="U48" s="503">
        <f t="shared" si="74"/>
        <v>198424</v>
      </c>
      <c r="V48" s="503">
        <f t="shared" si="74"/>
        <v>0</v>
      </c>
      <c r="W48" s="503">
        <f t="shared" si="74"/>
        <v>0</v>
      </c>
      <c r="X48" s="503">
        <f t="shared" si="74"/>
        <v>0</v>
      </c>
      <c r="Y48" s="503">
        <f t="shared" si="74"/>
        <v>0</v>
      </c>
      <c r="Z48" s="503">
        <f t="shared" si="74"/>
        <v>198424</v>
      </c>
      <c r="AA48" s="503">
        <f t="shared" si="74"/>
        <v>67067</v>
      </c>
      <c r="AB48" s="503">
        <f t="shared" si="74"/>
        <v>1984</v>
      </c>
      <c r="AC48" s="503">
        <f t="shared" si="74"/>
        <v>0</v>
      </c>
      <c r="AD48" s="891">
        <f t="shared" si="74"/>
        <v>267475</v>
      </c>
      <c r="AE48" s="701">
        <f t="shared" si="74"/>
        <v>0</v>
      </c>
      <c r="AF48" s="701">
        <f t="shared" si="74"/>
        <v>0.5</v>
      </c>
      <c r="AG48" s="502">
        <f t="shared" si="74"/>
        <v>0</v>
      </c>
      <c r="AH48" s="502">
        <f t="shared" si="74"/>
        <v>0</v>
      </c>
      <c r="AI48" s="502">
        <f t="shared" si="74"/>
        <v>0</v>
      </c>
      <c r="AJ48" s="502">
        <f t="shared" si="74"/>
        <v>0</v>
      </c>
      <c r="AK48" s="630">
        <f t="shared" si="74"/>
        <v>0.5</v>
      </c>
      <c r="AL48" s="629">
        <f t="shared" si="74"/>
        <v>5236682</v>
      </c>
      <c r="AM48" s="503">
        <f t="shared" si="74"/>
        <v>3884779</v>
      </c>
      <c r="AN48" s="552">
        <f t="shared" si="74"/>
        <v>0</v>
      </c>
      <c r="AO48" s="503">
        <f t="shared" si="74"/>
        <v>1313055</v>
      </c>
      <c r="AP48" s="503">
        <f t="shared" si="74"/>
        <v>38848</v>
      </c>
      <c r="AQ48" s="503">
        <f t="shared" si="74"/>
        <v>0</v>
      </c>
      <c r="AR48" s="630">
        <f t="shared" si="74"/>
        <v>6.7417999999999996</v>
      </c>
    </row>
    <row r="49" spans="1:44" ht="14.1" customHeight="1" x14ac:dyDescent="0.2">
      <c r="A49" s="499">
        <v>14</v>
      </c>
      <c r="B49" s="512">
        <v>2410</v>
      </c>
      <c r="C49" s="513">
        <v>600079121</v>
      </c>
      <c r="D49" s="512">
        <v>72742348</v>
      </c>
      <c r="E49" s="511" t="s">
        <v>544</v>
      </c>
      <c r="F49" s="499">
        <v>3111</v>
      </c>
      <c r="G49" s="511" t="s">
        <v>277</v>
      </c>
      <c r="H49" s="495" t="s">
        <v>262</v>
      </c>
      <c r="I49" s="627">
        <f t="shared" si="3"/>
        <v>7132954</v>
      </c>
      <c r="J49" s="14">
        <v>5291509</v>
      </c>
      <c r="K49" s="14">
        <v>1788530</v>
      </c>
      <c r="L49" s="14">
        <v>52915</v>
      </c>
      <c r="M49" s="14">
        <v>0</v>
      </c>
      <c r="N49" s="121">
        <v>8.5806000000000004</v>
      </c>
      <c r="O49" s="696">
        <f t="shared" si="4"/>
        <v>-42400</v>
      </c>
      <c r="P49" s="492">
        <v>0</v>
      </c>
      <c r="Q49" s="492">
        <v>0</v>
      </c>
      <c r="R49" s="492">
        <v>0</v>
      </c>
      <c r="S49" s="492">
        <v>0</v>
      </c>
      <c r="T49" s="492">
        <v>0</v>
      </c>
      <c r="U49" s="492">
        <f>O49+P49+Q49+R49+S49+T49</f>
        <v>-42400</v>
      </c>
      <c r="V49" s="492">
        <v>42400</v>
      </c>
      <c r="W49" s="492">
        <v>0</v>
      </c>
      <c r="X49" s="492">
        <v>0</v>
      </c>
      <c r="Y49" s="492">
        <f t="shared" ref="Y49:Y50" si="75">V49+W49+X49</f>
        <v>42400</v>
      </c>
      <c r="Z49" s="492">
        <f t="shared" ref="Z49:Z50" si="76">U49+Y49</f>
        <v>0</v>
      </c>
      <c r="AA49" s="494">
        <f t="shared" ref="AA49:AA50" si="77">ROUND((U49+Y49)*33.8%,0)</f>
        <v>0</v>
      </c>
      <c r="AB49" s="494">
        <f>ROUND(U49*1%,0)</f>
        <v>-424</v>
      </c>
      <c r="AC49" s="14">
        <v>0</v>
      </c>
      <c r="AD49" s="892">
        <f t="shared" si="8"/>
        <v>-424</v>
      </c>
      <c r="AE49" s="702">
        <v>-7.0000000000000007E-2</v>
      </c>
      <c r="AF49" s="702">
        <v>0</v>
      </c>
      <c r="AG49" s="491">
        <v>0</v>
      </c>
      <c r="AH49" s="491">
        <v>0</v>
      </c>
      <c r="AI49" s="491">
        <v>0</v>
      </c>
      <c r="AJ49" s="491">
        <v>0</v>
      </c>
      <c r="AK49" s="626">
        <f>SUM(AE49:AJ49)</f>
        <v>-7.0000000000000007E-2</v>
      </c>
      <c r="AL49" s="696">
        <f>I49+AD49</f>
        <v>7132530</v>
      </c>
      <c r="AM49" s="492">
        <f>J49+U49</f>
        <v>5249109</v>
      </c>
      <c r="AN49" s="492">
        <f>Y49</f>
        <v>42400</v>
      </c>
      <c r="AO49" s="492">
        <f t="shared" ref="AO49:AQ50" si="78">K49+AA49</f>
        <v>1788530</v>
      </c>
      <c r="AP49" s="492">
        <f t="shared" si="78"/>
        <v>52491</v>
      </c>
      <c r="AQ49" s="578">
        <f t="shared" si="78"/>
        <v>0</v>
      </c>
      <c r="AR49" s="626">
        <f>N49+AK49</f>
        <v>8.5106000000000002</v>
      </c>
    </row>
    <row r="50" spans="1:44" ht="14.1" customHeight="1" x14ac:dyDescent="0.2">
      <c r="A50" s="499">
        <v>14</v>
      </c>
      <c r="B50" s="512">
        <v>2410</v>
      </c>
      <c r="C50" s="513">
        <v>600079121</v>
      </c>
      <c r="D50" s="512">
        <v>72742348</v>
      </c>
      <c r="E50" s="511" t="s">
        <v>544</v>
      </c>
      <c r="F50" s="499">
        <v>3111</v>
      </c>
      <c r="G50" s="39" t="s">
        <v>279</v>
      </c>
      <c r="H50" s="495" t="s">
        <v>262</v>
      </c>
      <c r="I50" s="627">
        <f t="shared" si="3"/>
        <v>467309</v>
      </c>
      <c r="J50" s="14">
        <v>346668</v>
      </c>
      <c r="K50" s="14">
        <v>117174</v>
      </c>
      <c r="L50" s="14">
        <v>3467</v>
      </c>
      <c r="M50" s="14">
        <v>0</v>
      </c>
      <c r="N50" s="121">
        <v>1</v>
      </c>
      <c r="O50" s="696">
        <f t="shared" si="4"/>
        <v>0</v>
      </c>
      <c r="P50" s="492">
        <v>0</v>
      </c>
      <c r="Q50" s="492">
        <v>0</v>
      </c>
      <c r="R50" s="492">
        <v>0</v>
      </c>
      <c r="S50" s="492">
        <v>0</v>
      </c>
      <c r="T50" s="492">
        <v>0</v>
      </c>
      <c r="U50" s="492">
        <f>O50+P50+Q50+R50+S50+T50</f>
        <v>0</v>
      </c>
      <c r="V50" s="492">
        <v>0</v>
      </c>
      <c r="W50" s="492">
        <v>0</v>
      </c>
      <c r="X50" s="492">
        <v>0</v>
      </c>
      <c r="Y50" s="492">
        <f t="shared" si="75"/>
        <v>0</v>
      </c>
      <c r="Z50" s="492">
        <f t="shared" si="76"/>
        <v>0</v>
      </c>
      <c r="AA50" s="494">
        <f t="shared" si="77"/>
        <v>0</v>
      </c>
      <c r="AB50" s="494">
        <f>ROUND(U50*1%,0)</f>
        <v>0</v>
      </c>
      <c r="AC50" s="14">
        <v>0</v>
      </c>
      <c r="AD50" s="892">
        <f t="shared" si="8"/>
        <v>0</v>
      </c>
      <c r="AE50" s="702">
        <v>0</v>
      </c>
      <c r="AF50" s="702">
        <v>0</v>
      </c>
      <c r="AG50" s="491">
        <v>0</v>
      </c>
      <c r="AH50" s="491">
        <v>0</v>
      </c>
      <c r="AI50" s="491">
        <v>0</v>
      </c>
      <c r="AJ50" s="491">
        <v>0</v>
      </c>
      <c r="AK50" s="626">
        <f>SUM(AE50:AJ50)</f>
        <v>0</v>
      </c>
      <c r="AL50" s="696">
        <f>I50+AD50</f>
        <v>467309</v>
      </c>
      <c r="AM50" s="492">
        <f>J50+U50</f>
        <v>346668</v>
      </c>
      <c r="AN50" s="492">
        <f>Y50</f>
        <v>0</v>
      </c>
      <c r="AO50" s="492">
        <f t="shared" si="78"/>
        <v>117174</v>
      </c>
      <c r="AP50" s="492">
        <f t="shared" si="78"/>
        <v>3467</v>
      </c>
      <c r="AQ50" s="578">
        <f t="shared" si="78"/>
        <v>0</v>
      </c>
      <c r="AR50" s="626">
        <f>N50+AK50</f>
        <v>1</v>
      </c>
    </row>
    <row r="51" spans="1:44" ht="14.1" customHeight="1" x14ac:dyDescent="0.2">
      <c r="A51" s="510">
        <v>14</v>
      </c>
      <c r="B51" s="508">
        <v>2410</v>
      </c>
      <c r="C51" s="509">
        <v>600079121</v>
      </c>
      <c r="D51" s="508">
        <v>72742348</v>
      </c>
      <c r="E51" s="506" t="s">
        <v>545</v>
      </c>
      <c r="F51" s="510"/>
      <c r="G51" s="506"/>
      <c r="H51" s="505"/>
      <c r="I51" s="629">
        <f t="shared" ref="I51:N51" si="79">SUM(I49:I50)</f>
        <v>7600263</v>
      </c>
      <c r="J51" s="504">
        <f t="shared" si="79"/>
        <v>5638177</v>
      </c>
      <c r="K51" s="504">
        <f t="shared" si="79"/>
        <v>1905704</v>
      </c>
      <c r="L51" s="504">
        <f t="shared" si="79"/>
        <v>56382</v>
      </c>
      <c r="M51" s="504">
        <f t="shared" si="79"/>
        <v>0</v>
      </c>
      <c r="N51" s="885">
        <f t="shared" si="79"/>
        <v>9.5806000000000004</v>
      </c>
      <c r="O51" s="629">
        <f t="shared" ref="O51:AR51" si="80">SUM(O49:O50)</f>
        <v>-42400</v>
      </c>
      <c r="P51" s="503">
        <f t="shared" si="80"/>
        <v>0</v>
      </c>
      <c r="Q51" s="503">
        <f t="shared" si="80"/>
        <v>0</v>
      </c>
      <c r="R51" s="503">
        <f t="shared" si="80"/>
        <v>0</v>
      </c>
      <c r="S51" s="503">
        <f t="shared" si="80"/>
        <v>0</v>
      </c>
      <c r="T51" s="503">
        <f t="shared" si="80"/>
        <v>0</v>
      </c>
      <c r="U51" s="503">
        <f t="shared" si="80"/>
        <v>-42400</v>
      </c>
      <c r="V51" s="503">
        <f t="shared" si="80"/>
        <v>42400</v>
      </c>
      <c r="W51" s="503">
        <f t="shared" si="80"/>
        <v>0</v>
      </c>
      <c r="X51" s="503">
        <f t="shared" si="80"/>
        <v>0</v>
      </c>
      <c r="Y51" s="503">
        <f t="shared" si="80"/>
        <v>42400</v>
      </c>
      <c r="Z51" s="503">
        <f t="shared" si="80"/>
        <v>0</v>
      </c>
      <c r="AA51" s="503">
        <f t="shared" si="80"/>
        <v>0</v>
      </c>
      <c r="AB51" s="503">
        <f t="shared" si="80"/>
        <v>-424</v>
      </c>
      <c r="AC51" s="503">
        <f t="shared" si="80"/>
        <v>0</v>
      </c>
      <c r="AD51" s="891">
        <f t="shared" si="80"/>
        <v>-424</v>
      </c>
      <c r="AE51" s="701">
        <f t="shared" si="80"/>
        <v>-7.0000000000000007E-2</v>
      </c>
      <c r="AF51" s="701">
        <f t="shared" si="80"/>
        <v>0</v>
      </c>
      <c r="AG51" s="502">
        <f t="shared" si="80"/>
        <v>0</v>
      </c>
      <c r="AH51" s="502">
        <f t="shared" si="80"/>
        <v>0</v>
      </c>
      <c r="AI51" s="502">
        <f t="shared" si="80"/>
        <v>0</v>
      </c>
      <c r="AJ51" s="502">
        <f t="shared" si="80"/>
        <v>0</v>
      </c>
      <c r="AK51" s="630">
        <f t="shared" si="80"/>
        <v>-7.0000000000000007E-2</v>
      </c>
      <c r="AL51" s="629">
        <f t="shared" si="80"/>
        <v>7599839</v>
      </c>
      <c r="AM51" s="503">
        <f t="shared" si="80"/>
        <v>5595777</v>
      </c>
      <c r="AN51" s="552">
        <f t="shared" si="80"/>
        <v>42400</v>
      </c>
      <c r="AO51" s="503">
        <f t="shared" si="80"/>
        <v>1905704</v>
      </c>
      <c r="AP51" s="503">
        <f t="shared" si="80"/>
        <v>55958</v>
      </c>
      <c r="AQ51" s="503">
        <f t="shared" si="80"/>
        <v>0</v>
      </c>
      <c r="AR51" s="630">
        <f t="shared" si="80"/>
        <v>9.5106000000000002</v>
      </c>
    </row>
    <row r="52" spans="1:44" ht="14.1" customHeight="1" x14ac:dyDescent="0.2">
      <c r="A52" s="499">
        <v>15</v>
      </c>
      <c r="B52" s="512">
        <v>2436</v>
      </c>
      <c r="C52" s="513">
        <v>600079538</v>
      </c>
      <c r="D52" s="512">
        <v>72741546</v>
      </c>
      <c r="E52" s="511" t="s">
        <v>546</v>
      </c>
      <c r="F52" s="499">
        <v>3111</v>
      </c>
      <c r="G52" s="511" t="s">
        <v>277</v>
      </c>
      <c r="H52" s="495" t="s">
        <v>262</v>
      </c>
      <c r="I52" s="627">
        <f t="shared" si="3"/>
        <v>8474844</v>
      </c>
      <c r="J52" s="14">
        <v>6286976</v>
      </c>
      <c r="K52" s="14">
        <v>2124998</v>
      </c>
      <c r="L52" s="14">
        <v>62870</v>
      </c>
      <c r="M52" s="14">
        <v>0</v>
      </c>
      <c r="N52" s="121">
        <v>10.645099999999999</v>
      </c>
      <c r="O52" s="696">
        <f t="shared" si="4"/>
        <v>-50000</v>
      </c>
      <c r="P52" s="492">
        <v>0</v>
      </c>
      <c r="Q52" s="492">
        <v>0</v>
      </c>
      <c r="R52" s="492">
        <v>0</v>
      </c>
      <c r="S52" s="492">
        <v>0</v>
      </c>
      <c r="T52" s="492">
        <v>0</v>
      </c>
      <c r="U52" s="492">
        <f>O52+P52+Q52+R52+S52+T52</f>
        <v>-50000</v>
      </c>
      <c r="V52" s="492">
        <v>50000</v>
      </c>
      <c r="W52" s="492">
        <v>0</v>
      </c>
      <c r="X52" s="492">
        <v>0</v>
      </c>
      <c r="Y52" s="492">
        <f t="shared" ref="Y52:Y53" si="81">V52+W52+X52</f>
        <v>50000</v>
      </c>
      <c r="Z52" s="492">
        <f t="shared" ref="Z52:Z53" si="82">U52+Y52</f>
        <v>0</v>
      </c>
      <c r="AA52" s="494">
        <f t="shared" ref="AA52:AA53" si="83">ROUND((U52+Y52)*33.8%,0)</f>
        <v>0</v>
      </c>
      <c r="AB52" s="494">
        <f>ROUND(U52*1%,0)</f>
        <v>-500</v>
      </c>
      <c r="AC52" s="14">
        <v>0</v>
      </c>
      <c r="AD52" s="892">
        <f t="shared" si="8"/>
        <v>-500</v>
      </c>
      <c r="AE52" s="702">
        <v>0</v>
      </c>
      <c r="AF52" s="702">
        <v>0</v>
      </c>
      <c r="AG52" s="491">
        <v>0</v>
      </c>
      <c r="AH52" s="491">
        <v>0</v>
      </c>
      <c r="AI52" s="491">
        <v>0</v>
      </c>
      <c r="AJ52" s="491">
        <v>0</v>
      </c>
      <c r="AK52" s="626">
        <f>SUM(AE52:AJ52)</f>
        <v>0</v>
      </c>
      <c r="AL52" s="696">
        <f>I52+AD52</f>
        <v>8474344</v>
      </c>
      <c r="AM52" s="492">
        <f>J52+U52</f>
        <v>6236976</v>
      </c>
      <c r="AN52" s="492">
        <f>Y52</f>
        <v>50000</v>
      </c>
      <c r="AO52" s="492">
        <f t="shared" ref="AO52:AQ53" si="84">K52+AA52</f>
        <v>2124998</v>
      </c>
      <c r="AP52" s="492">
        <f t="shared" si="84"/>
        <v>62370</v>
      </c>
      <c r="AQ52" s="578">
        <f t="shared" si="84"/>
        <v>0</v>
      </c>
      <c r="AR52" s="626">
        <f>N52+AK52</f>
        <v>10.645099999999999</v>
      </c>
    </row>
    <row r="53" spans="1:44" ht="14.1" customHeight="1" x14ac:dyDescent="0.2">
      <c r="A53" s="499">
        <v>15</v>
      </c>
      <c r="B53" s="512">
        <v>2436</v>
      </c>
      <c r="C53" s="513">
        <v>600079538</v>
      </c>
      <c r="D53" s="512">
        <v>72741546</v>
      </c>
      <c r="E53" s="511" t="s">
        <v>546</v>
      </c>
      <c r="F53" s="499">
        <v>3111</v>
      </c>
      <c r="G53" s="514" t="s">
        <v>278</v>
      </c>
      <c r="H53" s="495" t="s">
        <v>263</v>
      </c>
      <c r="I53" s="627">
        <f t="shared" si="3"/>
        <v>0</v>
      </c>
      <c r="J53" s="490">
        <v>0</v>
      </c>
      <c r="K53" s="14">
        <v>0</v>
      </c>
      <c r="L53" s="14">
        <v>0</v>
      </c>
      <c r="M53" s="14">
        <v>0</v>
      </c>
      <c r="N53" s="682">
        <v>0</v>
      </c>
      <c r="O53" s="696">
        <f t="shared" si="4"/>
        <v>0</v>
      </c>
      <c r="P53" s="490">
        <v>992119</v>
      </c>
      <c r="Q53" s="492">
        <v>0</v>
      </c>
      <c r="R53" s="492">
        <v>0</v>
      </c>
      <c r="S53" s="492">
        <v>0</v>
      </c>
      <c r="T53" s="492">
        <v>0</v>
      </c>
      <c r="U53" s="492">
        <f>O53+P53+Q53+R53+S53+T53</f>
        <v>992119</v>
      </c>
      <c r="V53" s="492">
        <v>0</v>
      </c>
      <c r="W53" s="492">
        <v>0</v>
      </c>
      <c r="X53" s="492">
        <v>0</v>
      </c>
      <c r="Y53" s="492">
        <f t="shared" si="81"/>
        <v>0</v>
      </c>
      <c r="Z53" s="492">
        <f t="shared" si="82"/>
        <v>992119</v>
      </c>
      <c r="AA53" s="494">
        <f t="shared" si="83"/>
        <v>335336</v>
      </c>
      <c r="AB53" s="494">
        <f>ROUND(U53*1%,0)</f>
        <v>9921</v>
      </c>
      <c r="AC53" s="14">
        <v>0</v>
      </c>
      <c r="AD53" s="892">
        <f t="shared" si="8"/>
        <v>1337376</v>
      </c>
      <c r="AE53" s="702">
        <v>0</v>
      </c>
      <c r="AF53" s="121">
        <v>2.5</v>
      </c>
      <c r="AG53" s="491">
        <v>0</v>
      </c>
      <c r="AH53" s="491">
        <v>0</v>
      </c>
      <c r="AI53" s="491">
        <v>0</v>
      </c>
      <c r="AJ53" s="491">
        <v>0</v>
      </c>
      <c r="AK53" s="626">
        <f>SUM(AE53:AJ53)</f>
        <v>2.5</v>
      </c>
      <c r="AL53" s="696">
        <f>I53+AD53</f>
        <v>1337376</v>
      </c>
      <c r="AM53" s="492">
        <f>J53+U53</f>
        <v>992119</v>
      </c>
      <c r="AN53" s="492">
        <f>Y53</f>
        <v>0</v>
      </c>
      <c r="AO53" s="492">
        <f t="shared" si="84"/>
        <v>335336</v>
      </c>
      <c r="AP53" s="492">
        <f t="shared" si="84"/>
        <v>9921</v>
      </c>
      <c r="AQ53" s="578">
        <f t="shared" si="84"/>
        <v>0</v>
      </c>
      <c r="AR53" s="626">
        <f>N53+AK53</f>
        <v>2.5</v>
      </c>
    </row>
    <row r="54" spans="1:44" ht="14.1" customHeight="1" x14ac:dyDescent="0.2">
      <c r="A54" s="510">
        <v>15</v>
      </c>
      <c r="B54" s="508">
        <v>2436</v>
      </c>
      <c r="C54" s="509">
        <v>600079538</v>
      </c>
      <c r="D54" s="508">
        <v>72741546</v>
      </c>
      <c r="E54" s="506" t="s">
        <v>547</v>
      </c>
      <c r="F54" s="510"/>
      <c r="G54" s="506"/>
      <c r="H54" s="505"/>
      <c r="I54" s="629">
        <f t="shared" ref="I54:N54" si="85">SUM(I52:I53)</f>
        <v>8474844</v>
      </c>
      <c r="J54" s="504">
        <f t="shared" si="85"/>
        <v>6286976</v>
      </c>
      <c r="K54" s="504">
        <f t="shared" si="85"/>
        <v>2124998</v>
      </c>
      <c r="L54" s="504">
        <f t="shared" si="85"/>
        <v>62870</v>
      </c>
      <c r="M54" s="504">
        <f t="shared" si="85"/>
        <v>0</v>
      </c>
      <c r="N54" s="885">
        <f t="shared" si="85"/>
        <v>10.645099999999999</v>
      </c>
      <c r="O54" s="629">
        <f t="shared" ref="O54:AR54" si="86">SUM(O52:O53)</f>
        <v>-50000</v>
      </c>
      <c r="P54" s="503">
        <f t="shared" si="86"/>
        <v>992119</v>
      </c>
      <c r="Q54" s="503">
        <f t="shared" si="86"/>
        <v>0</v>
      </c>
      <c r="R54" s="503">
        <f t="shared" si="86"/>
        <v>0</v>
      </c>
      <c r="S54" s="503">
        <f t="shared" si="86"/>
        <v>0</v>
      </c>
      <c r="T54" s="503">
        <f t="shared" si="86"/>
        <v>0</v>
      </c>
      <c r="U54" s="503">
        <f t="shared" si="86"/>
        <v>942119</v>
      </c>
      <c r="V54" s="503">
        <f t="shared" si="86"/>
        <v>50000</v>
      </c>
      <c r="W54" s="503">
        <f t="shared" si="86"/>
        <v>0</v>
      </c>
      <c r="X54" s="503">
        <f t="shared" si="86"/>
        <v>0</v>
      </c>
      <c r="Y54" s="503">
        <f t="shared" si="86"/>
        <v>50000</v>
      </c>
      <c r="Z54" s="503">
        <f t="shared" si="86"/>
        <v>992119</v>
      </c>
      <c r="AA54" s="503">
        <f t="shared" si="86"/>
        <v>335336</v>
      </c>
      <c r="AB54" s="503">
        <f t="shared" si="86"/>
        <v>9421</v>
      </c>
      <c r="AC54" s="503">
        <f t="shared" si="86"/>
        <v>0</v>
      </c>
      <c r="AD54" s="891">
        <f t="shared" si="86"/>
        <v>1336876</v>
      </c>
      <c r="AE54" s="701">
        <f t="shared" si="86"/>
        <v>0</v>
      </c>
      <c r="AF54" s="701">
        <f t="shared" si="86"/>
        <v>2.5</v>
      </c>
      <c r="AG54" s="502">
        <f t="shared" si="86"/>
        <v>0</v>
      </c>
      <c r="AH54" s="502">
        <f t="shared" si="86"/>
        <v>0</v>
      </c>
      <c r="AI54" s="502">
        <f t="shared" si="86"/>
        <v>0</v>
      </c>
      <c r="AJ54" s="502">
        <f t="shared" si="86"/>
        <v>0</v>
      </c>
      <c r="AK54" s="630">
        <f t="shared" si="86"/>
        <v>2.5</v>
      </c>
      <c r="AL54" s="629">
        <f t="shared" si="86"/>
        <v>9811720</v>
      </c>
      <c r="AM54" s="503">
        <f t="shared" si="86"/>
        <v>7229095</v>
      </c>
      <c r="AN54" s="552">
        <f t="shared" si="86"/>
        <v>50000</v>
      </c>
      <c r="AO54" s="503">
        <f t="shared" si="86"/>
        <v>2460334</v>
      </c>
      <c r="AP54" s="503">
        <f t="shared" si="86"/>
        <v>72291</v>
      </c>
      <c r="AQ54" s="503">
        <f t="shared" si="86"/>
        <v>0</v>
      </c>
      <c r="AR54" s="630">
        <f t="shared" si="86"/>
        <v>13.145099999999999</v>
      </c>
    </row>
    <row r="55" spans="1:44" ht="14.1" customHeight="1" x14ac:dyDescent="0.2">
      <c r="A55" s="499">
        <v>16</v>
      </c>
      <c r="B55" s="512">
        <v>2424</v>
      </c>
      <c r="C55" s="513">
        <v>600079147</v>
      </c>
      <c r="D55" s="512">
        <v>72741945</v>
      </c>
      <c r="E55" s="511" t="s">
        <v>548</v>
      </c>
      <c r="F55" s="499">
        <v>3111</v>
      </c>
      <c r="G55" s="511" t="s">
        <v>277</v>
      </c>
      <c r="H55" s="495" t="s">
        <v>262</v>
      </c>
      <c r="I55" s="627">
        <f t="shared" si="3"/>
        <v>3155082</v>
      </c>
      <c r="J55" s="14">
        <v>2340565</v>
      </c>
      <c r="K55" s="14">
        <v>791111</v>
      </c>
      <c r="L55" s="14">
        <v>23406</v>
      </c>
      <c r="M55" s="14">
        <v>0</v>
      </c>
      <c r="N55" s="121">
        <v>4</v>
      </c>
      <c r="O55" s="696">
        <f t="shared" si="4"/>
        <v>0</v>
      </c>
      <c r="P55" s="492">
        <v>0</v>
      </c>
      <c r="Q55" s="492">
        <v>0</v>
      </c>
      <c r="R55" s="492">
        <v>0</v>
      </c>
      <c r="S55" s="492">
        <v>0</v>
      </c>
      <c r="T55" s="492">
        <v>0</v>
      </c>
      <c r="U55" s="492">
        <f>O55+P55+Q55+R55+S55+T55</f>
        <v>0</v>
      </c>
      <c r="V55" s="492">
        <v>0</v>
      </c>
      <c r="W55" s="492">
        <v>0</v>
      </c>
      <c r="X55" s="492">
        <v>0</v>
      </c>
      <c r="Y55" s="492">
        <f t="shared" ref="Y55" si="87">V55+W55+X55</f>
        <v>0</v>
      </c>
      <c r="Z55" s="492">
        <f t="shared" ref="Z55" si="88">U55+Y55</f>
        <v>0</v>
      </c>
      <c r="AA55" s="494">
        <f t="shared" ref="AA55" si="89">ROUND((U55+Y55)*33.8%,0)</f>
        <v>0</v>
      </c>
      <c r="AB55" s="494">
        <f>ROUND(U55*1%,0)</f>
        <v>0</v>
      </c>
      <c r="AC55" s="14">
        <v>0</v>
      </c>
      <c r="AD55" s="892">
        <f t="shared" si="8"/>
        <v>0</v>
      </c>
      <c r="AE55" s="702">
        <v>0</v>
      </c>
      <c r="AF55" s="702">
        <v>0</v>
      </c>
      <c r="AG55" s="491">
        <v>0</v>
      </c>
      <c r="AH55" s="491">
        <v>0</v>
      </c>
      <c r="AI55" s="491">
        <v>0</v>
      </c>
      <c r="AJ55" s="491">
        <v>0</v>
      </c>
      <c r="AK55" s="626">
        <f>SUM(AE55:AJ55)</f>
        <v>0</v>
      </c>
      <c r="AL55" s="696">
        <f>I55+AD55</f>
        <v>3155082</v>
      </c>
      <c r="AM55" s="492">
        <f>J55+U55</f>
        <v>2340565</v>
      </c>
      <c r="AN55" s="492">
        <f>Y55</f>
        <v>0</v>
      </c>
      <c r="AO55" s="492">
        <f>K55+AA55</f>
        <v>791111</v>
      </c>
      <c r="AP55" s="492">
        <f>L55+AB55</f>
        <v>23406</v>
      </c>
      <c r="AQ55" s="578">
        <f>M55+AC55</f>
        <v>0</v>
      </c>
      <c r="AR55" s="626">
        <f>N55+AK55</f>
        <v>4</v>
      </c>
    </row>
    <row r="56" spans="1:44" ht="14.1" customHeight="1" x14ac:dyDescent="0.2">
      <c r="A56" s="510">
        <v>16</v>
      </c>
      <c r="B56" s="508">
        <v>2424</v>
      </c>
      <c r="C56" s="509">
        <v>600079147</v>
      </c>
      <c r="D56" s="508">
        <v>72741945</v>
      </c>
      <c r="E56" s="506" t="s">
        <v>549</v>
      </c>
      <c r="F56" s="510"/>
      <c r="G56" s="506"/>
      <c r="H56" s="505"/>
      <c r="I56" s="629">
        <f t="shared" ref="I56:N56" si="90">SUM(I55:I55)</f>
        <v>3155082</v>
      </c>
      <c r="J56" s="504">
        <f t="shared" si="90"/>
        <v>2340565</v>
      </c>
      <c r="K56" s="504">
        <f t="shared" si="90"/>
        <v>791111</v>
      </c>
      <c r="L56" s="504">
        <f t="shared" si="90"/>
        <v>23406</v>
      </c>
      <c r="M56" s="504">
        <f t="shared" si="90"/>
        <v>0</v>
      </c>
      <c r="N56" s="885">
        <f t="shared" si="90"/>
        <v>4</v>
      </c>
      <c r="O56" s="629">
        <f t="shared" ref="O56:AR56" si="91">SUM(O55:O55)</f>
        <v>0</v>
      </c>
      <c r="P56" s="503">
        <f t="shared" si="91"/>
        <v>0</v>
      </c>
      <c r="Q56" s="503">
        <f t="shared" si="91"/>
        <v>0</v>
      </c>
      <c r="R56" s="503">
        <f t="shared" si="91"/>
        <v>0</v>
      </c>
      <c r="S56" s="503">
        <f t="shared" si="91"/>
        <v>0</v>
      </c>
      <c r="T56" s="503">
        <f t="shared" si="91"/>
        <v>0</v>
      </c>
      <c r="U56" s="503">
        <f t="shared" si="91"/>
        <v>0</v>
      </c>
      <c r="V56" s="503">
        <f t="shared" si="91"/>
        <v>0</v>
      </c>
      <c r="W56" s="503">
        <f t="shared" si="91"/>
        <v>0</v>
      </c>
      <c r="X56" s="503">
        <f t="shared" si="91"/>
        <v>0</v>
      </c>
      <c r="Y56" s="503">
        <f t="shared" si="91"/>
        <v>0</v>
      </c>
      <c r="Z56" s="503">
        <f t="shared" si="91"/>
        <v>0</v>
      </c>
      <c r="AA56" s="503">
        <f t="shared" si="91"/>
        <v>0</v>
      </c>
      <c r="AB56" s="503">
        <f t="shared" si="91"/>
        <v>0</v>
      </c>
      <c r="AC56" s="503">
        <f t="shared" si="91"/>
        <v>0</v>
      </c>
      <c r="AD56" s="891">
        <f t="shared" si="91"/>
        <v>0</v>
      </c>
      <c r="AE56" s="701">
        <f t="shared" si="91"/>
        <v>0</v>
      </c>
      <c r="AF56" s="701">
        <f t="shared" si="91"/>
        <v>0</v>
      </c>
      <c r="AG56" s="502">
        <f t="shared" si="91"/>
        <v>0</v>
      </c>
      <c r="AH56" s="502">
        <f t="shared" si="91"/>
        <v>0</v>
      </c>
      <c r="AI56" s="502">
        <f t="shared" si="91"/>
        <v>0</v>
      </c>
      <c r="AJ56" s="502">
        <f t="shared" si="91"/>
        <v>0</v>
      </c>
      <c r="AK56" s="630">
        <f t="shared" si="91"/>
        <v>0</v>
      </c>
      <c r="AL56" s="629">
        <f t="shared" si="91"/>
        <v>3155082</v>
      </c>
      <c r="AM56" s="503">
        <f t="shared" si="91"/>
        <v>2340565</v>
      </c>
      <c r="AN56" s="552">
        <f t="shared" si="91"/>
        <v>0</v>
      </c>
      <c r="AO56" s="503">
        <f t="shared" si="91"/>
        <v>791111</v>
      </c>
      <c r="AP56" s="503">
        <f t="shared" si="91"/>
        <v>23406</v>
      </c>
      <c r="AQ56" s="503">
        <f t="shared" si="91"/>
        <v>0</v>
      </c>
      <c r="AR56" s="630">
        <f t="shared" si="91"/>
        <v>4</v>
      </c>
    </row>
    <row r="57" spans="1:44" ht="14.1" customHeight="1" x14ac:dyDescent="0.2">
      <c r="A57" s="499">
        <v>17</v>
      </c>
      <c r="B57" s="512">
        <v>2417</v>
      </c>
      <c r="C57" s="513">
        <v>600079562</v>
      </c>
      <c r="D57" s="512">
        <v>72742810</v>
      </c>
      <c r="E57" s="511" t="s">
        <v>550</v>
      </c>
      <c r="F57" s="499">
        <v>3111</v>
      </c>
      <c r="G57" s="511" t="s">
        <v>277</v>
      </c>
      <c r="H57" s="495" t="s">
        <v>262</v>
      </c>
      <c r="I57" s="627">
        <f t="shared" si="3"/>
        <v>17277887</v>
      </c>
      <c r="J57" s="14">
        <v>12817424</v>
      </c>
      <c r="K57" s="14">
        <v>4332289</v>
      </c>
      <c r="L57" s="14">
        <v>128174</v>
      </c>
      <c r="M57" s="14">
        <v>0</v>
      </c>
      <c r="N57" s="121">
        <v>21</v>
      </c>
      <c r="O57" s="696">
        <f t="shared" si="4"/>
        <v>0</v>
      </c>
      <c r="P57" s="492">
        <v>0</v>
      </c>
      <c r="Q57" s="492">
        <v>0</v>
      </c>
      <c r="R57" s="492">
        <v>0</v>
      </c>
      <c r="S57" s="492">
        <v>0</v>
      </c>
      <c r="T57" s="492">
        <v>0</v>
      </c>
      <c r="U57" s="492">
        <f>O57+P57+Q57+R57+S57+T57</f>
        <v>0</v>
      </c>
      <c r="V57" s="492">
        <v>0</v>
      </c>
      <c r="W57" s="492">
        <v>0</v>
      </c>
      <c r="X57" s="492">
        <v>0</v>
      </c>
      <c r="Y57" s="492">
        <f t="shared" ref="Y57:Y59" si="92">V57+W57+X57</f>
        <v>0</v>
      </c>
      <c r="Z57" s="492">
        <f t="shared" ref="Z57:Z59" si="93">U57+Y57</f>
        <v>0</v>
      </c>
      <c r="AA57" s="494">
        <f t="shared" ref="AA57:AA59" si="94">ROUND((U57+Y57)*33.8%,0)</f>
        <v>0</v>
      </c>
      <c r="AB57" s="494">
        <f>ROUND(U57*1%,0)</f>
        <v>0</v>
      </c>
      <c r="AC57" s="14">
        <v>0</v>
      </c>
      <c r="AD57" s="892">
        <f t="shared" si="8"/>
        <v>0</v>
      </c>
      <c r="AE57" s="702">
        <v>0</v>
      </c>
      <c r="AF57" s="702">
        <v>0</v>
      </c>
      <c r="AG57" s="491">
        <v>0</v>
      </c>
      <c r="AH57" s="491">
        <v>0</v>
      </c>
      <c r="AI57" s="491">
        <v>0</v>
      </c>
      <c r="AJ57" s="491">
        <v>0</v>
      </c>
      <c r="AK57" s="626">
        <f>SUM(AE57:AJ57)</f>
        <v>0</v>
      </c>
      <c r="AL57" s="696">
        <f>I57+AD57</f>
        <v>17277887</v>
      </c>
      <c r="AM57" s="492">
        <f>J57+U57</f>
        <v>12817424</v>
      </c>
      <c r="AN57" s="492">
        <f>Y57</f>
        <v>0</v>
      </c>
      <c r="AO57" s="492">
        <f t="shared" ref="AO57:AQ59" si="95">K57+AA57</f>
        <v>4332289</v>
      </c>
      <c r="AP57" s="492">
        <f t="shared" si="95"/>
        <v>128174</v>
      </c>
      <c r="AQ57" s="578">
        <f t="shared" si="95"/>
        <v>0</v>
      </c>
      <c r="AR57" s="626">
        <f>N57+AK57</f>
        <v>21</v>
      </c>
    </row>
    <row r="58" spans="1:44" ht="14.1" customHeight="1" x14ac:dyDescent="0.2">
      <c r="A58" s="499">
        <v>17</v>
      </c>
      <c r="B58" s="512">
        <v>2417</v>
      </c>
      <c r="C58" s="513">
        <v>600079562</v>
      </c>
      <c r="D58" s="512">
        <v>72742810</v>
      </c>
      <c r="E58" s="511" t="s">
        <v>550</v>
      </c>
      <c r="F58" s="499">
        <v>3111</v>
      </c>
      <c r="G58" s="39" t="s">
        <v>279</v>
      </c>
      <c r="H58" s="495" t="s">
        <v>262</v>
      </c>
      <c r="I58" s="627">
        <f t="shared" si="3"/>
        <v>1922938</v>
      </c>
      <c r="J58" s="14">
        <v>1426512</v>
      </c>
      <c r="K58" s="14">
        <v>482161</v>
      </c>
      <c r="L58" s="14">
        <v>14265</v>
      </c>
      <c r="M58" s="14">
        <v>0</v>
      </c>
      <c r="N58" s="121">
        <v>4</v>
      </c>
      <c r="O58" s="696">
        <f t="shared" si="4"/>
        <v>0</v>
      </c>
      <c r="P58" s="492">
        <v>0</v>
      </c>
      <c r="Q58" s="492">
        <v>0</v>
      </c>
      <c r="R58" s="492">
        <v>0</v>
      </c>
      <c r="S58" s="492">
        <v>0</v>
      </c>
      <c r="T58" s="492">
        <v>0</v>
      </c>
      <c r="U58" s="492">
        <f>O58+P58+Q58+R58+S58+T58</f>
        <v>0</v>
      </c>
      <c r="V58" s="492">
        <v>0</v>
      </c>
      <c r="W58" s="492">
        <v>0</v>
      </c>
      <c r="X58" s="492">
        <v>0</v>
      </c>
      <c r="Y58" s="492">
        <f t="shared" si="92"/>
        <v>0</v>
      </c>
      <c r="Z58" s="492">
        <f t="shared" si="93"/>
        <v>0</v>
      </c>
      <c r="AA58" s="494">
        <f t="shared" si="94"/>
        <v>0</v>
      </c>
      <c r="AB58" s="494">
        <f>ROUND(U58*1%,0)</f>
        <v>0</v>
      </c>
      <c r="AC58" s="14">
        <v>0</v>
      </c>
      <c r="AD58" s="892">
        <f t="shared" si="8"/>
        <v>0</v>
      </c>
      <c r="AE58" s="702">
        <v>0</v>
      </c>
      <c r="AF58" s="702">
        <v>0</v>
      </c>
      <c r="AG58" s="491">
        <v>0</v>
      </c>
      <c r="AH58" s="491">
        <v>0</v>
      </c>
      <c r="AI58" s="491">
        <v>0</v>
      </c>
      <c r="AJ58" s="491">
        <v>0</v>
      </c>
      <c r="AK58" s="626">
        <f>SUM(AE58:AJ58)</f>
        <v>0</v>
      </c>
      <c r="AL58" s="696">
        <f>I58+AD58</f>
        <v>1922938</v>
      </c>
      <c r="AM58" s="492">
        <f>J58+U58</f>
        <v>1426512</v>
      </c>
      <c r="AN58" s="492">
        <f>Y58</f>
        <v>0</v>
      </c>
      <c r="AO58" s="492">
        <f t="shared" si="95"/>
        <v>482161</v>
      </c>
      <c r="AP58" s="492">
        <f t="shared" si="95"/>
        <v>14265</v>
      </c>
      <c r="AQ58" s="578">
        <f t="shared" si="95"/>
        <v>0</v>
      </c>
      <c r="AR58" s="626">
        <f>N58+AK58</f>
        <v>4</v>
      </c>
    </row>
    <row r="59" spans="1:44" ht="14.1" customHeight="1" x14ac:dyDescent="0.2">
      <c r="A59" s="499">
        <v>17</v>
      </c>
      <c r="B59" s="512">
        <v>2417</v>
      </c>
      <c r="C59" s="513">
        <v>600079562</v>
      </c>
      <c r="D59" s="512">
        <v>72742810</v>
      </c>
      <c r="E59" s="511" t="s">
        <v>550</v>
      </c>
      <c r="F59" s="499">
        <v>3111</v>
      </c>
      <c r="G59" s="39" t="s">
        <v>278</v>
      </c>
      <c r="H59" s="495" t="s">
        <v>263</v>
      </c>
      <c r="I59" s="627">
        <f t="shared" si="3"/>
        <v>0</v>
      </c>
      <c r="J59" s="490">
        <v>0</v>
      </c>
      <c r="K59" s="14">
        <v>0</v>
      </c>
      <c r="L59" s="14">
        <v>0</v>
      </c>
      <c r="M59" s="14">
        <v>0</v>
      </c>
      <c r="N59" s="682">
        <v>0</v>
      </c>
      <c r="O59" s="696">
        <f t="shared" si="4"/>
        <v>0</v>
      </c>
      <c r="P59" s="492">
        <v>0</v>
      </c>
      <c r="Q59" s="492">
        <v>0</v>
      </c>
      <c r="R59" s="492">
        <v>0</v>
      </c>
      <c r="S59" s="492">
        <v>0</v>
      </c>
      <c r="T59" s="492">
        <v>0</v>
      </c>
      <c r="U59" s="492">
        <f>O59+P59+Q59+R59+S59+T59</f>
        <v>0</v>
      </c>
      <c r="V59" s="492">
        <v>0</v>
      </c>
      <c r="W59" s="492">
        <v>0</v>
      </c>
      <c r="X59" s="492">
        <v>0</v>
      </c>
      <c r="Y59" s="492">
        <f t="shared" si="92"/>
        <v>0</v>
      </c>
      <c r="Z59" s="492">
        <f t="shared" si="93"/>
        <v>0</v>
      </c>
      <c r="AA59" s="494">
        <f t="shared" si="94"/>
        <v>0</v>
      </c>
      <c r="AB59" s="494">
        <f>ROUND(U59*1%,0)</f>
        <v>0</v>
      </c>
      <c r="AC59" s="14">
        <v>0</v>
      </c>
      <c r="AD59" s="892">
        <f t="shared" si="8"/>
        <v>0</v>
      </c>
      <c r="AE59" s="702">
        <v>0</v>
      </c>
      <c r="AF59" s="702">
        <v>0</v>
      </c>
      <c r="AG59" s="491">
        <v>0</v>
      </c>
      <c r="AH59" s="491">
        <v>0</v>
      </c>
      <c r="AI59" s="491">
        <v>0</v>
      </c>
      <c r="AJ59" s="491">
        <v>0</v>
      </c>
      <c r="AK59" s="626">
        <f>SUM(AE59:AJ59)</f>
        <v>0</v>
      </c>
      <c r="AL59" s="696">
        <f>I59+AD59</f>
        <v>0</v>
      </c>
      <c r="AM59" s="492">
        <f>J59+U59</f>
        <v>0</v>
      </c>
      <c r="AN59" s="492">
        <f>Y59</f>
        <v>0</v>
      </c>
      <c r="AO59" s="492">
        <f t="shared" si="95"/>
        <v>0</v>
      </c>
      <c r="AP59" s="492">
        <f t="shared" si="95"/>
        <v>0</v>
      </c>
      <c r="AQ59" s="578">
        <f t="shared" si="95"/>
        <v>0</v>
      </c>
      <c r="AR59" s="626">
        <f>N59+AK59</f>
        <v>0</v>
      </c>
    </row>
    <row r="60" spans="1:44" ht="14.1" customHeight="1" x14ac:dyDescent="0.2">
      <c r="A60" s="510">
        <v>17</v>
      </c>
      <c r="B60" s="508">
        <v>2417</v>
      </c>
      <c r="C60" s="509">
        <v>600079562</v>
      </c>
      <c r="D60" s="508">
        <v>72742810</v>
      </c>
      <c r="E60" s="506" t="s">
        <v>551</v>
      </c>
      <c r="F60" s="510"/>
      <c r="G60" s="506"/>
      <c r="H60" s="505"/>
      <c r="I60" s="629">
        <f t="shared" ref="I60:N60" si="96">SUM(I57:I59)</f>
        <v>19200825</v>
      </c>
      <c r="J60" s="504">
        <f t="shared" si="96"/>
        <v>14243936</v>
      </c>
      <c r="K60" s="504">
        <f t="shared" si="96"/>
        <v>4814450</v>
      </c>
      <c r="L60" s="504">
        <f t="shared" si="96"/>
        <v>142439</v>
      </c>
      <c r="M60" s="504">
        <f t="shared" si="96"/>
        <v>0</v>
      </c>
      <c r="N60" s="885">
        <f t="shared" si="96"/>
        <v>25</v>
      </c>
      <c r="O60" s="629">
        <f t="shared" ref="O60:AR60" si="97">SUM(O57:O59)</f>
        <v>0</v>
      </c>
      <c r="P60" s="503">
        <f t="shared" si="97"/>
        <v>0</v>
      </c>
      <c r="Q60" s="503">
        <f t="shared" si="97"/>
        <v>0</v>
      </c>
      <c r="R60" s="503">
        <f t="shared" si="97"/>
        <v>0</v>
      </c>
      <c r="S60" s="503">
        <f t="shared" si="97"/>
        <v>0</v>
      </c>
      <c r="T60" s="503">
        <f t="shared" si="97"/>
        <v>0</v>
      </c>
      <c r="U60" s="503">
        <f t="shared" si="97"/>
        <v>0</v>
      </c>
      <c r="V60" s="503">
        <f t="shared" si="97"/>
        <v>0</v>
      </c>
      <c r="W60" s="503">
        <f t="shared" si="97"/>
        <v>0</v>
      </c>
      <c r="X60" s="503">
        <f t="shared" si="97"/>
        <v>0</v>
      </c>
      <c r="Y60" s="503">
        <f t="shared" si="97"/>
        <v>0</v>
      </c>
      <c r="Z60" s="503">
        <f t="shared" si="97"/>
        <v>0</v>
      </c>
      <c r="AA60" s="503">
        <f t="shared" si="97"/>
        <v>0</v>
      </c>
      <c r="AB60" s="503">
        <f t="shared" si="97"/>
        <v>0</v>
      </c>
      <c r="AC60" s="503">
        <f t="shared" si="97"/>
        <v>0</v>
      </c>
      <c r="AD60" s="891">
        <f t="shared" si="97"/>
        <v>0</v>
      </c>
      <c r="AE60" s="701">
        <f t="shared" si="97"/>
        <v>0</v>
      </c>
      <c r="AF60" s="701">
        <f t="shared" si="97"/>
        <v>0</v>
      </c>
      <c r="AG60" s="502">
        <f t="shared" si="97"/>
        <v>0</v>
      </c>
      <c r="AH60" s="502">
        <f t="shared" si="97"/>
        <v>0</v>
      </c>
      <c r="AI60" s="502">
        <f t="shared" si="97"/>
        <v>0</v>
      </c>
      <c r="AJ60" s="502">
        <f t="shared" si="97"/>
        <v>0</v>
      </c>
      <c r="AK60" s="630">
        <f t="shared" si="97"/>
        <v>0</v>
      </c>
      <c r="AL60" s="629">
        <f t="shared" si="97"/>
        <v>19200825</v>
      </c>
      <c r="AM60" s="503">
        <f t="shared" si="97"/>
        <v>14243936</v>
      </c>
      <c r="AN60" s="552">
        <f t="shared" si="97"/>
        <v>0</v>
      </c>
      <c r="AO60" s="503">
        <f t="shared" si="97"/>
        <v>4814450</v>
      </c>
      <c r="AP60" s="503">
        <f t="shared" si="97"/>
        <v>142439</v>
      </c>
      <c r="AQ60" s="503">
        <f t="shared" si="97"/>
        <v>0</v>
      </c>
      <c r="AR60" s="630">
        <f t="shared" si="97"/>
        <v>25</v>
      </c>
    </row>
    <row r="61" spans="1:44" ht="14.1" customHeight="1" x14ac:dyDescent="0.2">
      <c r="A61" s="499">
        <v>18</v>
      </c>
      <c r="B61" s="512">
        <v>2416</v>
      </c>
      <c r="C61" s="513">
        <v>600079571</v>
      </c>
      <c r="D61" s="512">
        <v>72742895</v>
      </c>
      <c r="E61" s="511" t="s">
        <v>552</v>
      </c>
      <c r="F61" s="499">
        <v>3111</v>
      </c>
      <c r="G61" s="511" t="s">
        <v>277</v>
      </c>
      <c r="H61" s="495" t="s">
        <v>262</v>
      </c>
      <c r="I61" s="627">
        <f t="shared" si="3"/>
        <v>5308189</v>
      </c>
      <c r="J61" s="14">
        <v>3937826</v>
      </c>
      <c r="K61" s="14">
        <v>1330985</v>
      </c>
      <c r="L61" s="14">
        <v>39378</v>
      </c>
      <c r="M61" s="14">
        <v>0</v>
      </c>
      <c r="N61" s="121">
        <v>6.5644999999999998</v>
      </c>
      <c r="O61" s="696">
        <f t="shared" si="4"/>
        <v>0</v>
      </c>
      <c r="P61" s="492">
        <v>0</v>
      </c>
      <c r="Q61" s="492">
        <v>0</v>
      </c>
      <c r="R61" s="492">
        <v>0</v>
      </c>
      <c r="S61" s="492">
        <v>0</v>
      </c>
      <c r="T61" s="492">
        <v>0</v>
      </c>
      <c r="U61" s="492">
        <f>O61+P61+Q61+R61+S61+T61</f>
        <v>0</v>
      </c>
      <c r="V61" s="492">
        <v>0</v>
      </c>
      <c r="W61" s="492">
        <v>0</v>
      </c>
      <c r="X61" s="492">
        <v>0</v>
      </c>
      <c r="Y61" s="492">
        <f t="shared" ref="Y61:Y62" si="98">V61+W61+X61</f>
        <v>0</v>
      </c>
      <c r="Z61" s="492">
        <f t="shared" ref="Z61:Z62" si="99">U61+Y61</f>
        <v>0</v>
      </c>
      <c r="AA61" s="494">
        <f t="shared" ref="AA61:AA62" si="100">ROUND((U61+Y61)*33.8%,0)</f>
        <v>0</v>
      </c>
      <c r="AB61" s="494">
        <f>ROUND(U61*1%,0)</f>
        <v>0</v>
      </c>
      <c r="AC61" s="14">
        <v>0</v>
      </c>
      <c r="AD61" s="892">
        <f t="shared" si="8"/>
        <v>0</v>
      </c>
      <c r="AE61" s="702">
        <v>0</v>
      </c>
      <c r="AF61" s="702">
        <v>0</v>
      </c>
      <c r="AG61" s="491">
        <v>0</v>
      </c>
      <c r="AH61" s="491">
        <v>0</v>
      </c>
      <c r="AI61" s="491">
        <v>0</v>
      </c>
      <c r="AJ61" s="491">
        <v>0</v>
      </c>
      <c r="AK61" s="626">
        <f>SUM(AE61:AJ61)</f>
        <v>0</v>
      </c>
      <c r="AL61" s="696">
        <f>I61+AD61</f>
        <v>5308189</v>
      </c>
      <c r="AM61" s="492">
        <f>J61+U61</f>
        <v>3937826</v>
      </c>
      <c r="AN61" s="492">
        <f>Y61</f>
        <v>0</v>
      </c>
      <c r="AO61" s="492">
        <f t="shared" ref="AO61:AQ62" si="101">K61+AA61</f>
        <v>1330985</v>
      </c>
      <c r="AP61" s="492">
        <f t="shared" si="101"/>
        <v>39378</v>
      </c>
      <c r="AQ61" s="578">
        <f t="shared" si="101"/>
        <v>0</v>
      </c>
      <c r="AR61" s="626">
        <f>N61+AK61</f>
        <v>6.5644999999999998</v>
      </c>
    </row>
    <row r="62" spans="1:44" ht="14.1" customHeight="1" x14ac:dyDescent="0.2">
      <c r="A62" s="499">
        <v>18</v>
      </c>
      <c r="B62" s="512">
        <v>2416</v>
      </c>
      <c r="C62" s="513">
        <v>600079571</v>
      </c>
      <c r="D62" s="512">
        <v>72742895</v>
      </c>
      <c r="E62" s="511" t="s">
        <v>552</v>
      </c>
      <c r="F62" s="499">
        <v>3111</v>
      </c>
      <c r="G62" s="39" t="s">
        <v>279</v>
      </c>
      <c r="H62" s="495" t="s">
        <v>262</v>
      </c>
      <c r="I62" s="627">
        <f t="shared" si="3"/>
        <v>967181</v>
      </c>
      <c r="J62" s="14">
        <v>717493</v>
      </c>
      <c r="K62" s="14">
        <v>242513</v>
      </c>
      <c r="L62" s="14">
        <v>7175</v>
      </c>
      <c r="M62" s="14">
        <v>0</v>
      </c>
      <c r="N62" s="121">
        <v>1.9</v>
      </c>
      <c r="O62" s="696">
        <f t="shared" si="4"/>
        <v>0</v>
      </c>
      <c r="P62" s="492">
        <v>0</v>
      </c>
      <c r="Q62" s="492">
        <v>0</v>
      </c>
      <c r="R62" s="492">
        <v>0</v>
      </c>
      <c r="S62" s="492">
        <v>0</v>
      </c>
      <c r="T62" s="492">
        <v>0</v>
      </c>
      <c r="U62" s="492">
        <f>O62+P62+Q62+R62+S62+T62</f>
        <v>0</v>
      </c>
      <c r="V62" s="492">
        <v>0</v>
      </c>
      <c r="W62" s="492">
        <v>0</v>
      </c>
      <c r="X62" s="492">
        <v>0</v>
      </c>
      <c r="Y62" s="492">
        <f t="shared" si="98"/>
        <v>0</v>
      </c>
      <c r="Z62" s="492">
        <f t="shared" si="99"/>
        <v>0</v>
      </c>
      <c r="AA62" s="494">
        <f t="shared" si="100"/>
        <v>0</v>
      </c>
      <c r="AB62" s="494">
        <f>ROUND(U62*1%,0)</f>
        <v>0</v>
      </c>
      <c r="AC62" s="14">
        <v>0</v>
      </c>
      <c r="AD62" s="892">
        <f t="shared" si="8"/>
        <v>0</v>
      </c>
      <c r="AE62" s="702">
        <v>0</v>
      </c>
      <c r="AF62" s="702">
        <v>0</v>
      </c>
      <c r="AG62" s="491">
        <v>0</v>
      </c>
      <c r="AH62" s="491">
        <v>0</v>
      </c>
      <c r="AI62" s="491">
        <v>0</v>
      </c>
      <c r="AJ62" s="491">
        <v>0</v>
      </c>
      <c r="AK62" s="626">
        <f>SUM(AE62:AJ62)</f>
        <v>0</v>
      </c>
      <c r="AL62" s="696">
        <f>I62+AD62</f>
        <v>967181</v>
      </c>
      <c r="AM62" s="492">
        <f>J62+U62</f>
        <v>717493</v>
      </c>
      <c r="AN62" s="492">
        <f>Y62</f>
        <v>0</v>
      </c>
      <c r="AO62" s="492">
        <f t="shared" si="101"/>
        <v>242513</v>
      </c>
      <c r="AP62" s="492">
        <f t="shared" si="101"/>
        <v>7175</v>
      </c>
      <c r="AQ62" s="578">
        <f t="shared" si="101"/>
        <v>0</v>
      </c>
      <c r="AR62" s="626">
        <f>N62+AK62</f>
        <v>1.9</v>
      </c>
    </row>
    <row r="63" spans="1:44" ht="14.1" customHeight="1" x14ac:dyDescent="0.2">
      <c r="A63" s="510">
        <v>18</v>
      </c>
      <c r="B63" s="508">
        <v>2416</v>
      </c>
      <c r="C63" s="509">
        <v>600079571</v>
      </c>
      <c r="D63" s="508">
        <v>72742895</v>
      </c>
      <c r="E63" s="506" t="s">
        <v>553</v>
      </c>
      <c r="F63" s="510"/>
      <c r="G63" s="506"/>
      <c r="H63" s="505"/>
      <c r="I63" s="629">
        <f t="shared" ref="I63:N63" si="102">SUM(I61:I62)</f>
        <v>6275370</v>
      </c>
      <c r="J63" s="504">
        <f t="shared" si="102"/>
        <v>4655319</v>
      </c>
      <c r="K63" s="504">
        <f t="shared" si="102"/>
        <v>1573498</v>
      </c>
      <c r="L63" s="504">
        <f t="shared" si="102"/>
        <v>46553</v>
      </c>
      <c r="M63" s="504">
        <f t="shared" si="102"/>
        <v>0</v>
      </c>
      <c r="N63" s="885">
        <f t="shared" si="102"/>
        <v>8.4644999999999992</v>
      </c>
      <c r="O63" s="629">
        <f t="shared" ref="O63:AR63" si="103">SUM(O61:O62)</f>
        <v>0</v>
      </c>
      <c r="P63" s="503">
        <f t="shared" si="103"/>
        <v>0</v>
      </c>
      <c r="Q63" s="503">
        <f t="shared" si="103"/>
        <v>0</v>
      </c>
      <c r="R63" s="503">
        <f t="shared" si="103"/>
        <v>0</v>
      </c>
      <c r="S63" s="503">
        <f t="shared" si="103"/>
        <v>0</v>
      </c>
      <c r="T63" s="503">
        <f t="shared" si="103"/>
        <v>0</v>
      </c>
      <c r="U63" s="503">
        <f t="shared" si="103"/>
        <v>0</v>
      </c>
      <c r="V63" s="503">
        <f t="shared" si="103"/>
        <v>0</v>
      </c>
      <c r="W63" s="503">
        <f t="shared" si="103"/>
        <v>0</v>
      </c>
      <c r="X63" s="503">
        <f t="shared" si="103"/>
        <v>0</v>
      </c>
      <c r="Y63" s="503">
        <f t="shared" si="103"/>
        <v>0</v>
      </c>
      <c r="Z63" s="503">
        <f t="shared" si="103"/>
        <v>0</v>
      </c>
      <c r="AA63" s="503">
        <f t="shared" si="103"/>
        <v>0</v>
      </c>
      <c r="AB63" s="503">
        <f t="shared" si="103"/>
        <v>0</v>
      </c>
      <c r="AC63" s="503">
        <f t="shared" si="103"/>
        <v>0</v>
      </c>
      <c r="AD63" s="891">
        <f t="shared" si="103"/>
        <v>0</v>
      </c>
      <c r="AE63" s="701">
        <f t="shared" si="103"/>
        <v>0</v>
      </c>
      <c r="AF63" s="701">
        <f t="shared" si="103"/>
        <v>0</v>
      </c>
      <c r="AG63" s="502">
        <f t="shared" si="103"/>
        <v>0</v>
      </c>
      <c r="AH63" s="502">
        <f t="shared" si="103"/>
        <v>0</v>
      </c>
      <c r="AI63" s="502">
        <f t="shared" si="103"/>
        <v>0</v>
      </c>
      <c r="AJ63" s="502">
        <f t="shared" si="103"/>
        <v>0</v>
      </c>
      <c r="AK63" s="630">
        <f t="shared" si="103"/>
        <v>0</v>
      </c>
      <c r="AL63" s="629">
        <f t="shared" si="103"/>
        <v>6275370</v>
      </c>
      <c r="AM63" s="503">
        <f t="shared" si="103"/>
        <v>4655319</v>
      </c>
      <c r="AN63" s="552">
        <f t="shared" si="103"/>
        <v>0</v>
      </c>
      <c r="AO63" s="503">
        <f t="shared" si="103"/>
        <v>1573498</v>
      </c>
      <c r="AP63" s="503">
        <f t="shared" si="103"/>
        <v>46553</v>
      </c>
      <c r="AQ63" s="503">
        <f t="shared" si="103"/>
        <v>0</v>
      </c>
      <c r="AR63" s="630">
        <f t="shared" si="103"/>
        <v>8.4644999999999992</v>
      </c>
    </row>
    <row r="64" spans="1:44" ht="14.1" customHeight="1" x14ac:dyDescent="0.2">
      <c r="A64" s="499">
        <v>19</v>
      </c>
      <c r="B64" s="512">
        <v>2421</v>
      </c>
      <c r="C64" s="513">
        <v>600079163</v>
      </c>
      <c r="D64" s="512">
        <v>72743301</v>
      </c>
      <c r="E64" s="511" t="s">
        <v>554</v>
      </c>
      <c r="F64" s="499">
        <v>3111</v>
      </c>
      <c r="G64" s="511" t="s">
        <v>277</v>
      </c>
      <c r="H64" s="495" t="s">
        <v>262</v>
      </c>
      <c r="I64" s="627">
        <f t="shared" si="3"/>
        <v>10371380</v>
      </c>
      <c r="J64" s="14">
        <v>7693902</v>
      </c>
      <c r="K64" s="14">
        <v>2600539</v>
      </c>
      <c r="L64" s="14">
        <v>76939</v>
      </c>
      <c r="M64" s="14">
        <v>0</v>
      </c>
      <c r="N64" s="121">
        <v>12.2532</v>
      </c>
      <c r="O64" s="696">
        <f t="shared" si="4"/>
        <v>0</v>
      </c>
      <c r="P64" s="492">
        <v>0</v>
      </c>
      <c r="Q64" s="492">
        <v>0</v>
      </c>
      <c r="R64" s="492">
        <v>0</v>
      </c>
      <c r="S64" s="492">
        <v>0</v>
      </c>
      <c r="T64" s="492">
        <v>0</v>
      </c>
      <c r="U64" s="492">
        <f>O64+P64+Q64+R64+S64+T64</f>
        <v>0</v>
      </c>
      <c r="V64" s="492">
        <v>0</v>
      </c>
      <c r="W64" s="492">
        <v>0</v>
      </c>
      <c r="X64" s="492">
        <v>0</v>
      </c>
      <c r="Y64" s="492">
        <f t="shared" ref="Y64:Y65" si="104">V64+W64+X64</f>
        <v>0</v>
      </c>
      <c r="Z64" s="492">
        <f t="shared" ref="Z64:Z65" si="105">U64+Y64</f>
        <v>0</v>
      </c>
      <c r="AA64" s="494">
        <f t="shared" ref="AA64:AA65" si="106">ROUND((U64+Y64)*33.8%,0)</f>
        <v>0</v>
      </c>
      <c r="AB64" s="494">
        <f>ROUND(U64*1%,0)</f>
        <v>0</v>
      </c>
      <c r="AC64" s="14">
        <v>0</v>
      </c>
      <c r="AD64" s="892">
        <f t="shared" si="8"/>
        <v>0</v>
      </c>
      <c r="AE64" s="702">
        <v>0</v>
      </c>
      <c r="AF64" s="702">
        <v>0</v>
      </c>
      <c r="AG64" s="491">
        <v>0</v>
      </c>
      <c r="AH64" s="491">
        <v>0</v>
      </c>
      <c r="AI64" s="491">
        <v>0</v>
      </c>
      <c r="AJ64" s="491">
        <v>0</v>
      </c>
      <c r="AK64" s="626">
        <f>SUM(AE64:AJ64)</f>
        <v>0</v>
      </c>
      <c r="AL64" s="696">
        <f>I64+AD64</f>
        <v>10371380</v>
      </c>
      <c r="AM64" s="492">
        <f>J64+U64</f>
        <v>7693902</v>
      </c>
      <c r="AN64" s="492">
        <f>Y64</f>
        <v>0</v>
      </c>
      <c r="AO64" s="492">
        <f t="shared" ref="AO64:AQ65" si="107">K64+AA64</f>
        <v>2600539</v>
      </c>
      <c r="AP64" s="492">
        <f t="shared" si="107"/>
        <v>76939</v>
      </c>
      <c r="AQ64" s="578">
        <f t="shared" si="107"/>
        <v>0</v>
      </c>
      <c r="AR64" s="626">
        <f>N64+AK64</f>
        <v>12.2532</v>
      </c>
    </row>
    <row r="65" spans="1:44" ht="14.1" customHeight="1" x14ac:dyDescent="0.2">
      <c r="A65" s="499">
        <v>19</v>
      </c>
      <c r="B65" s="512">
        <v>2421</v>
      </c>
      <c r="C65" s="513">
        <v>600079163</v>
      </c>
      <c r="D65" s="512">
        <v>72743301</v>
      </c>
      <c r="E65" s="511" t="s">
        <v>554</v>
      </c>
      <c r="F65" s="499">
        <v>3111</v>
      </c>
      <c r="G65" s="39" t="s">
        <v>278</v>
      </c>
      <c r="H65" s="495" t="s">
        <v>263</v>
      </c>
      <c r="I65" s="627">
        <f t="shared" si="3"/>
        <v>0</v>
      </c>
      <c r="J65" s="490">
        <v>0</v>
      </c>
      <c r="K65" s="14">
        <v>0</v>
      </c>
      <c r="L65" s="14">
        <v>0</v>
      </c>
      <c r="M65" s="14">
        <v>0</v>
      </c>
      <c r="N65" s="682">
        <v>0</v>
      </c>
      <c r="O65" s="696">
        <f t="shared" si="4"/>
        <v>0</v>
      </c>
      <c r="P65" s="490">
        <v>749604</v>
      </c>
      <c r="Q65" s="492">
        <v>0</v>
      </c>
      <c r="R65" s="492">
        <v>0</v>
      </c>
      <c r="S65" s="492">
        <v>0</v>
      </c>
      <c r="T65" s="492">
        <v>0</v>
      </c>
      <c r="U65" s="492">
        <f>O65+P65+Q65+R65+S65+T65</f>
        <v>749604</v>
      </c>
      <c r="V65" s="492">
        <v>0</v>
      </c>
      <c r="W65" s="492">
        <v>0</v>
      </c>
      <c r="X65" s="492">
        <v>0</v>
      </c>
      <c r="Y65" s="492">
        <f t="shared" si="104"/>
        <v>0</v>
      </c>
      <c r="Z65" s="492">
        <f t="shared" si="105"/>
        <v>749604</v>
      </c>
      <c r="AA65" s="494">
        <f t="shared" si="106"/>
        <v>253366</v>
      </c>
      <c r="AB65" s="494">
        <f>ROUND(U65*1%,0)</f>
        <v>7496</v>
      </c>
      <c r="AC65" s="14">
        <v>0</v>
      </c>
      <c r="AD65" s="892">
        <f t="shared" si="8"/>
        <v>1010466</v>
      </c>
      <c r="AE65" s="702">
        <v>0</v>
      </c>
      <c r="AF65" s="121">
        <v>1.8900000000000001</v>
      </c>
      <c r="AG65" s="491">
        <v>0</v>
      </c>
      <c r="AH65" s="491">
        <v>0</v>
      </c>
      <c r="AI65" s="491">
        <v>0</v>
      </c>
      <c r="AJ65" s="491">
        <v>0</v>
      </c>
      <c r="AK65" s="626">
        <f>SUM(AE65:AJ65)</f>
        <v>1.8900000000000001</v>
      </c>
      <c r="AL65" s="696">
        <f>I65+AD65</f>
        <v>1010466</v>
      </c>
      <c r="AM65" s="492">
        <f>J65+U65</f>
        <v>749604</v>
      </c>
      <c r="AN65" s="492">
        <f>Y65</f>
        <v>0</v>
      </c>
      <c r="AO65" s="492">
        <f t="shared" si="107"/>
        <v>253366</v>
      </c>
      <c r="AP65" s="492">
        <f t="shared" si="107"/>
        <v>7496</v>
      </c>
      <c r="AQ65" s="578">
        <f t="shared" si="107"/>
        <v>0</v>
      </c>
      <c r="AR65" s="626">
        <f>N65+AK65</f>
        <v>1.8900000000000001</v>
      </c>
    </row>
    <row r="66" spans="1:44" ht="14.1" customHeight="1" x14ac:dyDescent="0.2">
      <c r="A66" s="510">
        <v>19</v>
      </c>
      <c r="B66" s="508">
        <v>2421</v>
      </c>
      <c r="C66" s="509">
        <v>600079163</v>
      </c>
      <c r="D66" s="508">
        <v>72743301</v>
      </c>
      <c r="E66" s="506" t="s">
        <v>555</v>
      </c>
      <c r="F66" s="510"/>
      <c r="G66" s="506"/>
      <c r="H66" s="505"/>
      <c r="I66" s="629">
        <f t="shared" ref="I66:N66" si="108">SUM(I64:I65)</f>
        <v>10371380</v>
      </c>
      <c r="J66" s="504">
        <f t="shared" si="108"/>
        <v>7693902</v>
      </c>
      <c r="K66" s="504">
        <f t="shared" si="108"/>
        <v>2600539</v>
      </c>
      <c r="L66" s="504">
        <f t="shared" si="108"/>
        <v>76939</v>
      </c>
      <c r="M66" s="504">
        <f t="shared" si="108"/>
        <v>0</v>
      </c>
      <c r="N66" s="885">
        <f t="shared" si="108"/>
        <v>12.2532</v>
      </c>
      <c r="O66" s="629">
        <f t="shared" ref="O66:AR66" si="109">SUM(O64:O65)</f>
        <v>0</v>
      </c>
      <c r="P66" s="503">
        <f t="shared" si="109"/>
        <v>749604</v>
      </c>
      <c r="Q66" s="503">
        <f t="shared" si="109"/>
        <v>0</v>
      </c>
      <c r="R66" s="503">
        <f t="shared" si="109"/>
        <v>0</v>
      </c>
      <c r="S66" s="503">
        <f t="shared" si="109"/>
        <v>0</v>
      </c>
      <c r="T66" s="503">
        <f t="shared" si="109"/>
        <v>0</v>
      </c>
      <c r="U66" s="503">
        <f t="shared" si="109"/>
        <v>749604</v>
      </c>
      <c r="V66" s="503">
        <f t="shared" si="109"/>
        <v>0</v>
      </c>
      <c r="W66" s="503">
        <f t="shared" si="109"/>
        <v>0</v>
      </c>
      <c r="X66" s="503">
        <f t="shared" si="109"/>
        <v>0</v>
      </c>
      <c r="Y66" s="503">
        <f t="shared" si="109"/>
        <v>0</v>
      </c>
      <c r="Z66" s="503">
        <f t="shared" si="109"/>
        <v>749604</v>
      </c>
      <c r="AA66" s="503">
        <f t="shared" si="109"/>
        <v>253366</v>
      </c>
      <c r="AB66" s="503">
        <f t="shared" si="109"/>
        <v>7496</v>
      </c>
      <c r="AC66" s="503">
        <f t="shared" si="109"/>
        <v>0</v>
      </c>
      <c r="AD66" s="891">
        <f t="shared" si="109"/>
        <v>1010466</v>
      </c>
      <c r="AE66" s="701">
        <f t="shared" si="109"/>
        <v>0</v>
      </c>
      <c r="AF66" s="701">
        <f t="shared" si="109"/>
        <v>1.8900000000000001</v>
      </c>
      <c r="AG66" s="502">
        <f t="shared" si="109"/>
        <v>0</v>
      </c>
      <c r="AH66" s="502">
        <f t="shared" si="109"/>
        <v>0</v>
      </c>
      <c r="AI66" s="502">
        <f t="shared" si="109"/>
        <v>0</v>
      </c>
      <c r="AJ66" s="502">
        <f t="shared" si="109"/>
        <v>0</v>
      </c>
      <c r="AK66" s="630">
        <f t="shared" si="109"/>
        <v>1.8900000000000001</v>
      </c>
      <c r="AL66" s="629">
        <f t="shared" si="109"/>
        <v>11381846</v>
      </c>
      <c r="AM66" s="503">
        <f t="shared" si="109"/>
        <v>8443506</v>
      </c>
      <c r="AN66" s="552">
        <f t="shared" si="109"/>
        <v>0</v>
      </c>
      <c r="AO66" s="503">
        <f t="shared" si="109"/>
        <v>2853905</v>
      </c>
      <c r="AP66" s="503">
        <f t="shared" si="109"/>
        <v>84435</v>
      </c>
      <c r="AQ66" s="503">
        <f t="shared" si="109"/>
        <v>0</v>
      </c>
      <c r="AR66" s="630">
        <f t="shared" si="109"/>
        <v>14.1432</v>
      </c>
    </row>
    <row r="67" spans="1:44" ht="14.1" customHeight="1" x14ac:dyDescent="0.2">
      <c r="A67" s="499">
        <v>20</v>
      </c>
      <c r="B67" s="512">
        <v>2419</v>
      </c>
      <c r="C67" s="513">
        <v>600079171</v>
      </c>
      <c r="D67" s="512">
        <v>72742500</v>
      </c>
      <c r="E67" s="511" t="s">
        <v>556</v>
      </c>
      <c r="F67" s="499">
        <v>3111</v>
      </c>
      <c r="G67" s="511" t="s">
        <v>277</v>
      </c>
      <c r="H67" s="495" t="s">
        <v>262</v>
      </c>
      <c r="I67" s="627">
        <f t="shared" si="3"/>
        <v>5156944</v>
      </c>
      <c r="J67" s="14">
        <v>3825626</v>
      </c>
      <c r="K67" s="14">
        <v>1293062</v>
      </c>
      <c r="L67" s="14">
        <v>38256</v>
      </c>
      <c r="M67" s="14">
        <v>0</v>
      </c>
      <c r="N67" s="121">
        <v>6.2419000000000002</v>
      </c>
      <c r="O67" s="696">
        <f t="shared" si="4"/>
        <v>0</v>
      </c>
      <c r="P67" s="492">
        <v>0</v>
      </c>
      <c r="Q67" s="492">
        <v>0</v>
      </c>
      <c r="R67" s="492">
        <v>0</v>
      </c>
      <c r="S67" s="492">
        <v>0</v>
      </c>
      <c r="T67" s="492">
        <v>0</v>
      </c>
      <c r="U67" s="492">
        <f>O67+P67+Q67+R67+S67+T67</f>
        <v>0</v>
      </c>
      <c r="V67" s="492">
        <v>0</v>
      </c>
      <c r="W67" s="492">
        <v>0</v>
      </c>
      <c r="X67" s="492">
        <v>0</v>
      </c>
      <c r="Y67" s="492">
        <f t="shared" ref="Y67:Y68" si="110">V67+W67+X67</f>
        <v>0</v>
      </c>
      <c r="Z67" s="492">
        <f t="shared" ref="Z67:Z68" si="111">U67+Y67</f>
        <v>0</v>
      </c>
      <c r="AA67" s="494">
        <f t="shared" ref="AA67:AA68" si="112">ROUND((U67+Y67)*33.8%,0)</f>
        <v>0</v>
      </c>
      <c r="AB67" s="494">
        <f>ROUND(U67*1%,0)</f>
        <v>0</v>
      </c>
      <c r="AC67" s="14">
        <v>0</v>
      </c>
      <c r="AD67" s="892">
        <f t="shared" si="8"/>
        <v>0</v>
      </c>
      <c r="AE67" s="702">
        <v>0</v>
      </c>
      <c r="AF67" s="702">
        <v>0</v>
      </c>
      <c r="AG67" s="491">
        <v>0</v>
      </c>
      <c r="AH67" s="491">
        <v>0</v>
      </c>
      <c r="AI67" s="491">
        <v>0</v>
      </c>
      <c r="AJ67" s="491">
        <v>0</v>
      </c>
      <c r="AK67" s="626">
        <f>SUM(AE67:AJ67)</f>
        <v>0</v>
      </c>
      <c r="AL67" s="696">
        <f>I67+AD67</f>
        <v>5156944</v>
      </c>
      <c r="AM67" s="492">
        <f>J67+U67</f>
        <v>3825626</v>
      </c>
      <c r="AN67" s="492">
        <f>Y67</f>
        <v>0</v>
      </c>
      <c r="AO67" s="492">
        <f t="shared" ref="AO67:AQ68" si="113">K67+AA67</f>
        <v>1293062</v>
      </c>
      <c r="AP67" s="492">
        <f t="shared" si="113"/>
        <v>38256</v>
      </c>
      <c r="AQ67" s="578">
        <f t="shared" si="113"/>
        <v>0</v>
      </c>
      <c r="AR67" s="626">
        <f>N67+AK67</f>
        <v>6.2419000000000002</v>
      </c>
    </row>
    <row r="68" spans="1:44" ht="14.1" customHeight="1" x14ac:dyDescent="0.2">
      <c r="A68" s="499">
        <v>20</v>
      </c>
      <c r="B68" s="512">
        <v>2419</v>
      </c>
      <c r="C68" s="513">
        <v>600079171</v>
      </c>
      <c r="D68" s="512">
        <v>72742500</v>
      </c>
      <c r="E68" s="511" t="s">
        <v>556</v>
      </c>
      <c r="F68" s="499">
        <v>3111</v>
      </c>
      <c r="G68" s="39" t="s">
        <v>278</v>
      </c>
      <c r="H68" s="495" t="s">
        <v>263</v>
      </c>
      <c r="I68" s="627">
        <f t="shared" si="3"/>
        <v>0</v>
      </c>
      <c r="J68" s="490">
        <v>0</v>
      </c>
      <c r="K68" s="14">
        <v>0</v>
      </c>
      <c r="L68" s="14">
        <v>0</v>
      </c>
      <c r="M68" s="14">
        <v>0</v>
      </c>
      <c r="N68" s="682">
        <v>0</v>
      </c>
      <c r="O68" s="696">
        <f t="shared" si="4"/>
        <v>0</v>
      </c>
      <c r="P68" s="492">
        <v>0</v>
      </c>
      <c r="Q68" s="492">
        <v>0</v>
      </c>
      <c r="R68" s="492">
        <v>0</v>
      </c>
      <c r="S68" s="492">
        <v>0</v>
      </c>
      <c r="T68" s="492">
        <v>0</v>
      </c>
      <c r="U68" s="492">
        <f>O68+P68+Q68+R68+S68+T68</f>
        <v>0</v>
      </c>
      <c r="V68" s="492">
        <v>0</v>
      </c>
      <c r="W68" s="492">
        <v>0</v>
      </c>
      <c r="X68" s="492">
        <v>0</v>
      </c>
      <c r="Y68" s="492">
        <f t="shared" si="110"/>
        <v>0</v>
      </c>
      <c r="Z68" s="492">
        <f t="shared" si="111"/>
        <v>0</v>
      </c>
      <c r="AA68" s="494">
        <f t="shared" si="112"/>
        <v>0</v>
      </c>
      <c r="AB68" s="494">
        <f>ROUND(U68*1%,0)</f>
        <v>0</v>
      </c>
      <c r="AC68" s="14">
        <v>0</v>
      </c>
      <c r="AD68" s="892">
        <f t="shared" si="8"/>
        <v>0</v>
      </c>
      <c r="AE68" s="702">
        <v>0</v>
      </c>
      <c r="AF68" s="702">
        <v>0</v>
      </c>
      <c r="AG68" s="491">
        <v>0</v>
      </c>
      <c r="AH68" s="491">
        <v>0</v>
      </c>
      <c r="AI68" s="491">
        <v>0</v>
      </c>
      <c r="AJ68" s="491">
        <v>0</v>
      </c>
      <c r="AK68" s="626">
        <f>SUM(AE68:AJ68)</f>
        <v>0</v>
      </c>
      <c r="AL68" s="696">
        <f>I68+AD68</f>
        <v>0</v>
      </c>
      <c r="AM68" s="492">
        <f>J68+U68</f>
        <v>0</v>
      </c>
      <c r="AN68" s="492">
        <f>Y68</f>
        <v>0</v>
      </c>
      <c r="AO68" s="492">
        <f t="shared" si="113"/>
        <v>0</v>
      </c>
      <c r="AP68" s="492">
        <f t="shared" si="113"/>
        <v>0</v>
      </c>
      <c r="AQ68" s="578">
        <f t="shared" si="113"/>
        <v>0</v>
      </c>
      <c r="AR68" s="626">
        <f>N68+AK68</f>
        <v>0</v>
      </c>
    </row>
    <row r="69" spans="1:44" ht="14.1" customHeight="1" x14ac:dyDescent="0.2">
      <c r="A69" s="510">
        <v>20</v>
      </c>
      <c r="B69" s="508">
        <v>2419</v>
      </c>
      <c r="C69" s="509">
        <v>600079171</v>
      </c>
      <c r="D69" s="508">
        <v>72742500</v>
      </c>
      <c r="E69" s="506" t="s">
        <v>557</v>
      </c>
      <c r="F69" s="510"/>
      <c r="G69" s="506"/>
      <c r="H69" s="505"/>
      <c r="I69" s="629">
        <f t="shared" ref="I69:N69" si="114">SUM(I67:I68)</f>
        <v>5156944</v>
      </c>
      <c r="J69" s="504">
        <f t="shared" si="114"/>
        <v>3825626</v>
      </c>
      <c r="K69" s="504">
        <f t="shared" si="114"/>
        <v>1293062</v>
      </c>
      <c r="L69" s="504">
        <f t="shared" si="114"/>
        <v>38256</v>
      </c>
      <c r="M69" s="504">
        <f t="shared" si="114"/>
        <v>0</v>
      </c>
      <c r="N69" s="885">
        <f t="shared" si="114"/>
        <v>6.2419000000000002</v>
      </c>
      <c r="O69" s="629">
        <f t="shared" ref="O69:AR69" si="115">SUM(O67:O68)</f>
        <v>0</v>
      </c>
      <c r="P69" s="503">
        <f t="shared" si="115"/>
        <v>0</v>
      </c>
      <c r="Q69" s="503">
        <f t="shared" si="115"/>
        <v>0</v>
      </c>
      <c r="R69" s="503">
        <f t="shared" si="115"/>
        <v>0</v>
      </c>
      <c r="S69" s="503">
        <f t="shared" si="115"/>
        <v>0</v>
      </c>
      <c r="T69" s="503">
        <f t="shared" si="115"/>
        <v>0</v>
      </c>
      <c r="U69" s="503">
        <f t="shared" si="115"/>
        <v>0</v>
      </c>
      <c r="V69" s="503">
        <f t="shared" si="115"/>
        <v>0</v>
      </c>
      <c r="W69" s="503">
        <f t="shared" si="115"/>
        <v>0</v>
      </c>
      <c r="X69" s="503">
        <f t="shared" si="115"/>
        <v>0</v>
      </c>
      <c r="Y69" s="503">
        <f t="shared" si="115"/>
        <v>0</v>
      </c>
      <c r="Z69" s="503">
        <f t="shared" si="115"/>
        <v>0</v>
      </c>
      <c r="AA69" s="503">
        <f t="shared" si="115"/>
        <v>0</v>
      </c>
      <c r="AB69" s="503">
        <f t="shared" si="115"/>
        <v>0</v>
      </c>
      <c r="AC69" s="503">
        <f t="shared" si="115"/>
        <v>0</v>
      </c>
      <c r="AD69" s="891">
        <f t="shared" si="115"/>
        <v>0</v>
      </c>
      <c r="AE69" s="701">
        <f t="shared" si="115"/>
        <v>0</v>
      </c>
      <c r="AF69" s="701">
        <f t="shared" si="115"/>
        <v>0</v>
      </c>
      <c r="AG69" s="502">
        <f t="shared" si="115"/>
        <v>0</v>
      </c>
      <c r="AH69" s="502">
        <f t="shared" si="115"/>
        <v>0</v>
      </c>
      <c r="AI69" s="502">
        <f t="shared" si="115"/>
        <v>0</v>
      </c>
      <c r="AJ69" s="502">
        <f t="shared" si="115"/>
        <v>0</v>
      </c>
      <c r="AK69" s="630">
        <f t="shared" si="115"/>
        <v>0</v>
      </c>
      <c r="AL69" s="629">
        <f t="shared" si="115"/>
        <v>5156944</v>
      </c>
      <c r="AM69" s="503">
        <f t="shared" si="115"/>
        <v>3825626</v>
      </c>
      <c r="AN69" s="552">
        <f t="shared" si="115"/>
        <v>0</v>
      </c>
      <c r="AO69" s="503">
        <f t="shared" si="115"/>
        <v>1293062</v>
      </c>
      <c r="AP69" s="503">
        <f t="shared" si="115"/>
        <v>38256</v>
      </c>
      <c r="AQ69" s="503">
        <f t="shared" si="115"/>
        <v>0</v>
      </c>
      <c r="AR69" s="630">
        <f t="shared" si="115"/>
        <v>6.2419000000000002</v>
      </c>
    </row>
    <row r="70" spans="1:44" ht="14.1" customHeight="1" x14ac:dyDescent="0.2">
      <c r="A70" s="499">
        <v>21</v>
      </c>
      <c r="B70" s="512">
        <v>2430</v>
      </c>
      <c r="C70" s="513">
        <v>600079180</v>
      </c>
      <c r="D70" s="512">
        <v>46747532</v>
      </c>
      <c r="E70" s="511" t="s">
        <v>558</v>
      </c>
      <c r="F70" s="499">
        <v>3111</v>
      </c>
      <c r="G70" s="511" t="s">
        <v>277</v>
      </c>
      <c r="H70" s="495" t="s">
        <v>262</v>
      </c>
      <c r="I70" s="627">
        <f t="shared" si="3"/>
        <v>5053083</v>
      </c>
      <c r="J70" s="14">
        <v>3748578</v>
      </c>
      <c r="K70" s="14">
        <v>1267019</v>
      </c>
      <c r="L70" s="14">
        <v>37486</v>
      </c>
      <c r="M70" s="14">
        <v>0</v>
      </c>
      <c r="N70" s="121">
        <v>6</v>
      </c>
      <c r="O70" s="696">
        <f t="shared" si="4"/>
        <v>0</v>
      </c>
      <c r="P70" s="492">
        <v>0</v>
      </c>
      <c r="Q70" s="492">
        <v>0</v>
      </c>
      <c r="R70" s="492">
        <v>0</v>
      </c>
      <c r="S70" s="492">
        <v>0</v>
      </c>
      <c r="T70" s="492">
        <v>0</v>
      </c>
      <c r="U70" s="492">
        <f>O70+P70+Q70+R70+S70+T70</f>
        <v>0</v>
      </c>
      <c r="V70" s="492">
        <v>0</v>
      </c>
      <c r="W70" s="492">
        <v>0</v>
      </c>
      <c r="X70" s="492">
        <v>0</v>
      </c>
      <c r="Y70" s="492">
        <f t="shared" ref="Y70:Y71" si="116">V70+W70+X70</f>
        <v>0</v>
      </c>
      <c r="Z70" s="492">
        <f t="shared" ref="Z70:Z71" si="117">U70+Y70</f>
        <v>0</v>
      </c>
      <c r="AA70" s="494">
        <f t="shared" ref="AA70:AA71" si="118">ROUND((U70+Y70)*33.8%,0)</f>
        <v>0</v>
      </c>
      <c r="AB70" s="494">
        <f>ROUND(U70*1%,0)</f>
        <v>0</v>
      </c>
      <c r="AC70" s="14">
        <v>0</v>
      </c>
      <c r="AD70" s="892">
        <f t="shared" si="8"/>
        <v>0</v>
      </c>
      <c r="AE70" s="702">
        <v>0</v>
      </c>
      <c r="AF70" s="702">
        <v>0</v>
      </c>
      <c r="AG70" s="491">
        <v>0</v>
      </c>
      <c r="AH70" s="491">
        <v>0</v>
      </c>
      <c r="AI70" s="491">
        <v>0</v>
      </c>
      <c r="AJ70" s="491">
        <v>0</v>
      </c>
      <c r="AK70" s="626">
        <f>SUM(AE70:AJ70)</f>
        <v>0</v>
      </c>
      <c r="AL70" s="696">
        <f>I70+AD70</f>
        <v>5053083</v>
      </c>
      <c r="AM70" s="492">
        <f>J70+U70</f>
        <v>3748578</v>
      </c>
      <c r="AN70" s="492">
        <f>Y70</f>
        <v>0</v>
      </c>
      <c r="AO70" s="492">
        <f t="shared" ref="AO70:AQ71" si="119">K70+AA70</f>
        <v>1267019</v>
      </c>
      <c r="AP70" s="492">
        <f t="shared" si="119"/>
        <v>37486</v>
      </c>
      <c r="AQ70" s="578">
        <f t="shared" si="119"/>
        <v>0</v>
      </c>
      <c r="AR70" s="626">
        <f>N70+AK70</f>
        <v>6</v>
      </c>
    </row>
    <row r="71" spans="1:44" ht="14.1" customHeight="1" x14ac:dyDescent="0.2">
      <c r="A71" s="499">
        <v>21</v>
      </c>
      <c r="B71" s="512">
        <v>2430</v>
      </c>
      <c r="C71" s="513">
        <v>600079180</v>
      </c>
      <c r="D71" s="512">
        <v>46747532</v>
      </c>
      <c r="E71" s="511" t="s">
        <v>558</v>
      </c>
      <c r="F71" s="499">
        <v>3111</v>
      </c>
      <c r="G71" s="514" t="s">
        <v>278</v>
      </c>
      <c r="H71" s="495" t="s">
        <v>263</v>
      </c>
      <c r="I71" s="627">
        <f t="shared" si="3"/>
        <v>0</v>
      </c>
      <c r="J71" s="490">
        <v>0</v>
      </c>
      <c r="K71" s="14">
        <v>0</v>
      </c>
      <c r="L71" s="14">
        <v>0</v>
      </c>
      <c r="M71" s="14">
        <v>0</v>
      </c>
      <c r="N71" s="682">
        <v>0</v>
      </c>
      <c r="O71" s="696">
        <f t="shared" si="4"/>
        <v>0</v>
      </c>
      <c r="P71" s="492">
        <v>0</v>
      </c>
      <c r="Q71" s="492">
        <v>0</v>
      </c>
      <c r="R71" s="492">
        <v>0</v>
      </c>
      <c r="S71" s="492">
        <v>0</v>
      </c>
      <c r="T71" s="492">
        <v>0</v>
      </c>
      <c r="U71" s="492">
        <f>O71+P71+Q71+R71+S71+T71</f>
        <v>0</v>
      </c>
      <c r="V71" s="492">
        <v>0</v>
      </c>
      <c r="W71" s="492">
        <v>0</v>
      </c>
      <c r="X71" s="492">
        <v>0</v>
      </c>
      <c r="Y71" s="492">
        <f t="shared" si="116"/>
        <v>0</v>
      </c>
      <c r="Z71" s="492">
        <f t="shared" si="117"/>
        <v>0</v>
      </c>
      <c r="AA71" s="494">
        <f t="shared" si="118"/>
        <v>0</v>
      </c>
      <c r="AB71" s="494">
        <f>ROUND(U71*1%,0)</f>
        <v>0</v>
      </c>
      <c r="AC71" s="14">
        <v>0</v>
      </c>
      <c r="AD71" s="892">
        <f t="shared" si="8"/>
        <v>0</v>
      </c>
      <c r="AE71" s="702">
        <v>0</v>
      </c>
      <c r="AF71" s="702">
        <v>0</v>
      </c>
      <c r="AG71" s="491">
        <v>0</v>
      </c>
      <c r="AH71" s="491">
        <v>0</v>
      </c>
      <c r="AI71" s="491">
        <v>0</v>
      </c>
      <c r="AJ71" s="491">
        <v>0</v>
      </c>
      <c r="AK71" s="626">
        <f>SUM(AE71:AJ71)</f>
        <v>0</v>
      </c>
      <c r="AL71" s="696">
        <f>I71+AD71</f>
        <v>0</v>
      </c>
      <c r="AM71" s="492">
        <f>J71+U71</f>
        <v>0</v>
      </c>
      <c r="AN71" s="492">
        <f>Y71</f>
        <v>0</v>
      </c>
      <c r="AO71" s="492">
        <f t="shared" si="119"/>
        <v>0</v>
      </c>
      <c r="AP71" s="492">
        <f t="shared" si="119"/>
        <v>0</v>
      </c>
      <c r="AQ71" s="578">
        <f t="shared" si="119"/>
        <v>0</v>
      </c>
      <c r="AR71" s="626">
        <f>N71+AK71</f>
        <v>0</v>
      </c>
    </row>
    <row r="72" spans="1:44" ht="13.5" customHeight="1" x14ac:dyDescent="0.2">
      <c r="A72" s="510">
        <v>21</v>
      </c>
      <c r="B72" s="508">
        <v>2430</v>
      </c>
      <c r="C72" s="509">
        <v>600079180</v>
      </c>
      <c r="D72" s="508">
        <v>46747532</v>
      </c>
      <c r="E72" s="506" t="s">
        <v>559</v>
      </c>
      <c r="F72" s="510"/>
      <c r="G72" s="506"/>
      <c r="H72" s="505"/>
      <c r="I72" s="629">
        <f t="shared" ref="I72:N72" si="120">SUM(I70:I71)</f>
        <v>5053083</v>
      </c>
      <c r="J72" s="504">
        <f t="shared" si="120"/>
        <v>3748578</v>
      </c>
      <c r="K72" s="504">
        <f t="shared" si="120"/>
        <v>1267019</v>
      </c>
      <c r="L72" s="504">
        <f t="shared" si="120"/>
        <v>37486</v>
      </c>
      <c r="M72" s="504">
        <f t="shared" si="120"/>
        <v>0</v>
      </c>
      <c r="N72" s="885">
        <f t="shared" si="120"/>
        <v>6</v>
      </c>
      <c r="O72" s="629">
        <f t="shared" ref="O72:AR72" si="121">SUM(O70:O71)</f>
        <v>0</v>
      </c>
      <c r="P72" s="503">
        <f t="shared" si="121"/>
        <v>0</v>
      </c>
      <c r="Q72" s="503">
        <f t="shared" si="121"/>
        <v>0</v>
      </c>
      <c r="R72" s="503">
        <f t="shared" si="121"/>
        <v>0</v>
      </c>
      <c r="S72" s="503">
        <f t="shared" si="121"/>
        <v>0</v>
      </c>
      <c r="T72" s="503">
        <f t="shared" si="121"/>
        <v>0</v>
      </c>
      <c r="U72" s="503">
        <f t="shared" si="121"/>
        <v>0</v>
      </c>
      <c r="V72" s="503">
        <f t="shared" si="121"/>
        <v>0</v>
      </c>
      <c r="W72" s="503">
        <f t="shared" si="121"/>
        <v>0</v>
      </c>
      <c r="X72" s="503">
        <f t="shared" si="121"/>
        <v>0</v>
      </c>
      <c r="Y72" s="503">
        <f t="shared" si="121"/>
        <v>0</v>
      </c>
      <c r="Z72" s="503">
        <f t="shared" si="121"/>
        <v>0</v>
      </c>
      <c r="AA72" s="503">
        <f t="shared" si="121"/>
        <v>0</v>
      </c>
      <c r="AB72" s="503">
        <f t="shared" si="121"/>
        <v>0</v>
      </c>
      <c r="AC72" s="503">
        <f t="shared" si="121"/>
        <v>0</v>
      </c>
      <c r="AD72" s="891">
        <f t="shared" si="121"/>
        <v>0</v>
      </c>
      <c r="AE72" s="701">
        <f t="shared" si="121"/>
        <v>0</v>
      </c>
      <c r="AF72" s="701">
        <f t="shared" si="121"/>
        <v>0</v>
      </c>
      <c r="AG72" s="502">
        <f t="shared" si="121"/>
        <v>0</v>
      </c>
      <c r="AH72" s="502">
        <f t="shared" si="121"/>
        <v>0</v>
      </c>
      <c r="AI72" s="502">
        <f t="shared" si="121"/>
        <v>0</v>
      </c>
      <c r="AJ72" s="502">
        <f t="shared" si="121"/>
        <v>0</v>
      </c>
      <c r="AK72" s="630">
        <f t="shared" si="121"/>
        <v>0</v>
      </c>
      <c r="AL72" s="629">
        <f t="shared" si="121"/>
        <v>5053083</v>
      </c>
      <c r="AM72" s="503">
        <f t="shared" si="121"/>
        <v>3748578</v>
      </c>
      <c r="AN72" s="552">
        <f t="shared" si="121"/>
        <v>0</v>
      </c>
      <c r="AO72" s="503">
        <f t="shared" si="121"/>
        <v>1267019</v>
      </c>
      <c r="AP72" s="503">
        <f t="shared" si="121"/>
        <v>37486</v>
      </c>
      <c r="AQ72" s="503">
        <f t="shared" si="121"/>
        <v>0</v>
      </c>
      <c r="AR72" s="630">
        <f t="shared" si="121"/>
        <v>6</v>
      </c>
    </row>
    <row r="73" spans="1:44" ht="14.1" customHeight="1" x14ac:dyDescent="0.2">
      <c r="A73" s="499">
        <v>22</v>
      </c>
      <c r="B73" s="512">
        <v>2409</v>
      </c>
      <c r="C73" s="513">
        <v>600079635</v>
      </c>
      <c r="D73" s="512">
        <v>72742747</v>
      </c>
      <c r="E73" s="511" t="s">
        <v>560</v>
      </c>
      <c r="F73" s="499">
        <v>3111</v>
      </c>
      <c r="G73" s="511" t="s">
        <v>277</v>
      </c>
      <c r="H73" s="495" t="s">
        <v>262</v>
      </c>
      <c r="I73" s="627">
        <f t="shared" si="3"/>
        <v>7478701</v>
      </c>
      <c r="J73" s="14">
        <v>5547998</v>
      </c>
      <c r="K73" s="14">
        <v>1875223</v>
      </c>
      <c r="L73" s="14">
        <v>55480</v>
      </c>
      <c r="M73" s="14">
        <v>0</v>
      </c>
      <c r="N73" s="121">
        <v>8.9</v>
      </c>
      <c r="O73" s="696">
        <f t="shared" si="4"/>
        <v>0</v>
      </c>
      <c r="P73" s="492">
        <v>0</v>
      </c>
      <c r="Q73" s="492">
        <v>0</v>
      </c>
      <c r="R73" s="492">
        <v>0</v>
      </c>
      <c r="S73" s="492">
        <v>0</v>
      </c>
      <c r="T73" s="492">
        <v>0</v>
      </c>
      <c r="U73" s="492">
        <f>O73+P73+Q73+R73+S73+T73</f>
        <v>0</v>
      </c>
      <c r="V73" s="492">
        <v>0</v>
      </c>
      <c r="W73" s="492">
        <v>0</v>
      </c>
      <c r="X73" s="492">
        <v>0</v>
      </c>
      <c r="Y73" s="492">
        <f t="shared" ref="Y73:Y74" si="122">V73+W73+X73</f>
        <v>0</v>
      </c>
      <c r="Z73" s="492">
        <f t="shared" ref="Z73:Z74" si="123">U73+Y73</f>
        <v>0</v>
      </c>
      <c r="AA73" s="494">
        <f t="shared" ref="AA73:AA74" si="124">ROUND((U73+Y73)*33.8%,0)</f>
        <v>0</v>
      </c>
      <c r="AB73" s="494">
        <f>ROUND(U73*1%,0)</f>
        <v>0</v>
      </c>
      <c r="AC73" s="14">
        <v>0</v>
      </c>
      <c r="AD73" s="892">
        <f t="shared" si="8"/>
        <v>0</v>
      </c>
      <c r="AE73" s="702">
        <v>0</v>
      </c>
      <c r="AF73" s="702">
        <v>0</v>
      </c>
      <c r="AG73" s="491">
        <v>0</v>
      </c>
      <c r="AH73" s="491">
        <v>0</v>
      </c>
      <c r="AI73" s="491">
        <v>0</v>
      </c>
      <c r="AJ73" s="491">
        <v>0</v>
      </c>
      <c r="AK73" s="626">
        <f>SUM(AE73:AJ73)</f>
        <v>0</v>
      </c>
      <c r="AL73" s="696">
        <f>I73+AD73</f>
        <v>7478701</v>
      </c>
      <c r="AM73" s="492">
        <f>J73+U73</f>
        <v>5547998</v>
      </c>
      <c r="AN73" s="492">
        <f>Y73</f>
        <v>0</v>
      </c>
      <c r="AO73" s="492">
        <f t="shared" ref="AO73:AQ74" si="125">K73+AA73</f>
        <v>1875223</v>
      </c>
      <c r="AP73" s="492">
        <f t="shared" si="125"/>
        <v>55480</v>
      </c>
      <c r="AQ73" s="578">
        <f t="shared" si="125"/>
        <v>0</v>
      </c>
      <c r="AR73" s="626">
        <f>N73+AK73</f>
        <v>8.9</v>
      </c>
    </row>
    <row r="74" spans="1:44" ht="14.1" customHeight="1" x14ac:dyDescent="0.2">
      <c r="A74" s="499">
        <v>22</v>
      </c>
      <c r="B74" s="512">
        <v>2409</v>
      </c>
      <c r="C74" s="513">
        <v>600079635</v>
      </c>
      <c r="D74" s="512">
        <v>72742747</v>
      </c>
      <c r="E74" s="511" t="s">
        <v>560</v>
      </c>
      <c r="F74" s="499">
        <v>3111</v>
      </c>
      <c r="G74" s="511" t="s">
        <v>278</v>
      </c>
      <c r="H74" s="495" t="s">
        <v>263</v>
      </c>
      <c r="I74" s="627">
        <f t="shared" si="3"/>
        <v>0</v>
      </c>
      <c r="J74" s="490">
        <v>0</v>
      </c>
      <c r="K74" s="14">
        <v>0</v>
      </c>
      <c r="L74" s="14">
        <v>0</v>
      </c>
      <c r="M74" s="14">
        <v>0</v>
      </c>
      <c r="N74" s="682">
        <v>0</v>
      </c>
      <c r="O74" s="696">
        <f t="shared" si="4"/>
        <v>0</v>
      </c>
      <c r="P74" s="490">
        <v>595271</v>
      </c>
      <c r="Q74" s="492">
        <v>0</v>
      </c>
      <c r="R74" s="492">
        <v>0</v>
      </c>
      <c r="S74" s="492">
        <v>0</v>
      </c>
      <c r="T74" s="492">
        <v>0</v>
      </c>
      <c r="U74" s="492">
        <f>O74+P74+Q74+R74+S74+T74</f>
        <v>595271</v>
      </c>
      <c r="V74" s="492">
        <v>0</v>
      </c>
      <c r="W74" s="492">
        <v>0</v>
      </c>
      <c r="X74" s="492">
        <v>0</v>
      </c>
      <c r="Y74" s="492">
        <f t="shared" si="122"/>
        <v>0</v>
      </c>
      <c r="Z74" s="492">
        <f t="shared" si="123"/>
        <v>595271</v>
      </c>
      <c r="AA74" s="494">
        <f t="shared" si="124"/>
        <v>201202</v>
      </c>
      <c r="AB74" s="494">
        <f>ROUND(U74*1%,0)</f>
        <v>5953</v>
      </c>
      <c r="AC74" s="14">
        <v>0</v>
      </c>
      <c r="AD74" s="892">
        <f t="shared" si="8"/>
        <v>802426</v>
      </c>
      <c r="AE74" s="702">
        <v>0</v>
      </c>
      <c r="AF74" s="121">
        <v>1.5</v>
      </c>
      <c r="AG74" s="491">
        <v>0</v>
      </c>
      <c r="AH74" s="491">
        <v>0</v>
      </c>
      <c r="AI74" s="491">
        <v>0</v>
      </c>
      <c r="AJ74" s="491">
        <v>0</v>
      </c>
      <c r="AK74" s="626">
        <f>SUM(AE74:AJ74)</f>
        <v>1.5</v>
      </c>
      <c r="AL74" s="696">
        <f>I74+AD74</f>
        <v>802426</v>
      </c>
      <c r="AM74" s="492">
        <f>J74+U74</f>
        <v>595271</v>
      </c>
      <c r="AN74" s="492">
        <f>Y74</f>
        <v>0</v>
      </c>
      <c r="AO74" s="492">
        <f t="shared" si="125"/>
        <v>201202</v>
      </c>
      <c r="AP74" s="492">
        <f t="shared" si="125"/>
        <v>5953</v>
      </c>
      <c r="AQ74" s="578">
        <f t="shared" si="125"/>
        <v>0</v>
      </c>
      <c r="AR74" s="626">
        <f>N74+AK74</f>
        <v>1.5</v>
      </c>
    </row>
    <row r="75" spans="1:44" ht="13.5" customHeight="1" x14ac:dyDescent="0.2">
      <c r="A75" s="510">
        <v>22</v>
      </c>
      <c r="B75" s="508">
        <v>2409</v>
      </c>
      <c r="C75" s="509">
        <v>600079635</v>
      </c>
      <c r="D75" s="508">
        <v>72742747</v>
      </c>
      <c r="E75" s="506" t="s">
        <v>561</v>
      </c>
      <c r="F75" s="510"/>
      <c r="G75" s="506"/>
      <c r="H75" s="505"/>
      <c r="I75" s="629">
        <f t="shared" ref="I75:N75" si="126">SUM(I73:I74)</f>
        <v>7478701</v>
      </c>
      <c r="J75" s="504">
        <f t="shared" si="126"/>
        <v>5547998</v>
      </c>
      <c r="K75" s="504">
        <f t="shared" si="126"/>
        <v>1875223</v>
      </c>
      <c r="L75" s="504">
        <f t="shared" si="126"/>
        <v>55480</v>
      </c>
      <c r="M75" s="504">
        <f t="shared" si="126"/>
        <v>0</v>
      </c>
      <c r="N75" s="885">
        <f t="shared" si="126"/>
        <v>8.9</v>
      </c>
      <c r="O75" s="629">
        <f t="shared" ref="O75:AR75" si="127">SUM(O73:O74)</f>
        <v>0</v>
      </c>
      <c r="P75" s="503">
        <f t="shared" si="127"/>
        <v>595271</v>
      </c>
      <c r="Q75" s="503">
        <f t="shared" si="127"/>
        <v>0</v>
      </c>
      <c r="R75" s="503">
        <f t="shared" si="127"/>
        <v>0</v>
      </c>
      <c r="S75" s="503">
        <f t="shared" si="127"/>
        <v>0</v>
      </c>
      <c r="T75" s="503">
        <f t="shared" si="127"/>
        <v>0</v>
      </c>
      <c r="U75" s="503">
        <f t="shared" si="127"/>
        <v>595271</v>
      </c>
      <c r="V75" s="503">
        <f t="shared" si="127"/>
        <v>0</v>
      </c>
      <c r="W75" s="503">
        <f t="shared" si="127"/>
        <v>0</v>
      </c>
      <c r="X75" s="503">
        <f t="shared" si="127"/>
        <v>0</v>
      </c>
      <c r="Y75" s="503">
        <f t="shared" si="127"/>
        <v>0</v>
      </c>
      <c r="Z75" s="503">
        <f t="shared" si="127"/>
        <v>595271</v>
      </c>
      <c r="AA75" s="503">
        <f t="shared" si="127"/>
        <v>201202</v>
      </c>
      <c r="AB75" s="503">
        <f t="shared" si="127"/>
        <v>5953</v>
      </c>
      <c r="AC75" s="503">
        <f t="shared" si="127"/>
        <v>0</v>
      </c>
      <c r="AD75" s="891">
        <f t="shared" si="127"/>
        <v>802426</v>
      </c>
      <c r="AE75" s="701">
        <f t="shared" si="127"/>
        <v>0</v>
      </c>
      <c r="AF75" s="701">
        <f t="shared" si="127"/>
        <v>1.5</v>
      </c>
      <c r="AG75" s="502">
        <f t="shared" si="127"/>
        <v>0</v>
      </c>
      <c r="AH75" s="502">
        <f t="shared" si="127"/>
        <v>0</v>
      </c>
      <c r="AI75" s="502">
        <f t="shared" si="127"/>
        <v>0</v>
      </c>
      <c r="AJ75" s="502">
        <f t="shared" si="127"/>
        <v>0</v>
      </c>
      <c r="AK75" s="630">
        <f t="shared" si="127"/>
        <v>1.5</v>
      </c>
      <c r="AL75" s="629">
        <f t="shared" si="127"/>
        <v>8281127</v>
      </c>
      <c r="AM75" s="503">
        <f t="shared" si="127"/>
        <v>6143269</v>
      </c>
      <c r="AN75" s="552">
        <f t="shared" si="127"/>
        <v>0</v>
      </c>
      <c r="AO75" s="503">
        <f t="shared" si="127"/>
        <v>2076425</v>
      </c>
      <c r="AP75" s="503">
        <f t="shared" si="127"/>
        <v>61433</v>
      </c>
      <c r="AQ75" s="503">
        <f t="shared" si="127"/>
        <v>0</v>
      </c>
      <c r="AR75" s="630">
        <f t="shared" si="127"/>
        <v>10.4</v>
      </c>
    </row>
    <row r="76" spans="1:44" ht="14.1" customHeight="1" x14ac:dyDescent="0.2">
      <c r="A76" s="499">
        <v>23</v>
      </c>
      <c r="B76" s="512">
        <v>2429</v>
      </c>
      <c r="C76" s="513">
        <v>600079244</v>
      </c>
      <c r="D76" s="512">
        <v>72741708</v>
      </c>
      <c r="E76" s="511" t="s">
        <v>562</v>
      </c>
      <c r="F76" s="499">
        <v>3111</v>
      </c>
      <c r="G76" s="511" t="s">
        <v>277</v>
      </c>
      <c r="H76" s="495" t="s">
        <v>262</v>
      </c>
      <c r="I76" s="627">
        <f t="shared" si="3"/>
        <v>6886483</v>
      </c>
      <c r="J76" s="14">
        <v>5108667</v>
      </c>
      <c r="K76" s="14">
        <v>1726729</v>
      </c>
      <c r="L76" s="14">
        <v>51087</v>
      </c>
      <c r="M76" s="14">
        <v>0</v>
      </c>
      <c r="N76" s="121">
        <v>8.4515999999999991</v>
      </c>
      <c r="O76" s="696">
        <f t="shared" si="4"/>
        <v>0</v>
      </c>
      <c r="P76" s="492">
        <v>0</v>
      </c>
      <c r="Q76" s="492">
        <v>0</v>
      </c>
      <c r="R76" s="492">
        <v>0</v>
      </c>
      <c r="S76" s="492">
        <v>0</v>
      </c>
      <c r="T76" s="492">
        <v>0</v>
      </c>
      <c r="U76" s="492">
        <f>O76+P76+Q76+R76+S76+T76</f>
        <v>0</v>
      </c>
      <c r="V76" s="492">
        <v>0</v>
      </c>
      <c r="W76" s="492">
        <v>0</v>
      </c>
      <c r="X76" s="492">
        <v>0</v>
      </c>
      <c r="Y76" s="492">
        <f t="shared" ref="Y76:Y77" si="128">V76+W76+X76</f>
        <v>0</v>
      </c>
      <c r="Z76" s="492">
        <f t="shared" ref="Z76:Z77" si="129">U76+Y76</f>
        <v>0</v>
      </c>
      <c r="AA76" s="494">
        <f t="shared" ref="AA76:AA77" si="130">ROUND((U76+Y76)*33.8%,0)</f>
        <v>0</v>
      </c>
      <c r="AB76" s="494">
        <f>ROUND(U76*1%,0)</f>
        <v>0</v>
      </c>
      <c r="AC76" s="14">
        <v>0</v>
      </c>
      <c r="AD76" s="892">
        <f t="shared" si="8"/>
        <v>0</v>
      </c>
      <c r="AE76" s="702">
        <v>0</v>
      </c>
      <c r="AF76" s="702">
        <v>0</v>
      </c>
      <c r="AG76" s="491">
        <v>0</v>
      </c>
      <c r="AH76" s="491">
        <v>0</v>
      </c>
      <c r="AI76" s="491">
        <v>0</v>
      </c>
      <c r="AJ76" s="491">
        <v>0</v>
      </c>
      <c r="AK76" s="626">
        <f>SUM(AE76:AJ76)</f>
        <v>0</v>
      </c>
      <c r="AL76" s="696">
        <f>I76+AD76</f>
        <v>6886483</v>
      </c>
      <c r="AM76" s="492">
        <f>J76+U76</f>
        <v>5108667</v>
      </c>
      <c r="AN76" s="492">
        <f>Y76</f>
        <v>0</v>
      </c>
      <c r="AO76" s="492">
        <f t="shared" ref="AO76:AQ77" si="131">K76+AA76</f>
        <v>1726729</v>
      </c>
      <c r="AP76" s="492">
        <f t="shared" si="131"/>
        <v>51087</v>
      </c>
      <c r="AQ76" s="578">
        <f t="shared" si="131"/>
        <v>0</v>
      </c>
      <c r="AR76" s="626">
        <f>N76+AK76</f>
        <v>8.4515999999999991</v>
      </c>
    </row>
    <row r="77" spans="1:44" ht="14.1" customHeight="1" x14ac:dyDescent="0.2">
      <c r="A77" s="499">
        <v>23</v>
      </c>
      <c r="B77" s="512">
        <v>2429</v>
      </c>
      <c r="C77" s="513">
        <v>600079244</v>
      </c>
      <c r="D77" s="512">
        <v>72741708</v>
      </c>
      <c r="E77" s="511" t="s">
        <v>562</v>
      </c>
      <c r="F77" s="499">
        <v>3111</v>
      </c>
      <c r="G77" s="514" t="s">
        <v>278</v>
      </c>
      <c r="H77" s="495" t="s">
        <v>263</v>
      </c>
      <c r="I77" s="627">
        <f t="shared" ref="I77:I140" si="132">SUM(J77:M77)</f>
        <v>0</v>
      </c>
      <c r="J77" s="490">
        <v>0</v>
      </c>
      <c r="K77" s="14">
        <v>0</v>
      </c>
      <c r="L77" s="14">
        <v>0</v>
      </c>
      <c r="M77" s="14">
        <v>0</v>
      </c>
      <c r="N77" s="682">
        <v>0</v>
      </c>
      <c r="O77" s="696">
        <f t="shared" ref="O77:O140" si="133">V77*-1</f>
        <v>0</v>
      </c>
      <c r="P77" s="490">
        <v>396847</v>
      </c>
      <c r="Q77" s="492">
        <v>0</v>
      </c>
      <c r="R77" s="492">
        <v>0</v>
      </c>
      <c r="S77" s="492">
        <v>0</v>
      </c>
      <c r="T77" s="492">
        <v>0</v>
      </c>
      <c r="U77" s="492">
        <f>O77+P77+Q77+R77+S77+T77</f>
        <v>396847</v>
      </c>
      <c r="V77" s="492">
        <v>0</v>
      </c>
      <c r="W77" s="492">
        <v>0</v>
      </c>
      <c r="X77" s="492">
        <v>0</v>
      </c>
      <c r="Y77" s="492">
        <f t="shared" si="128"/>
        <v>0</v>
      </c>
      <c r="Z77" s="492">
        <f t="shared" si="129"/>
        <v>396847</v>
      </c>
      <c r="AA77" s="494">
        <f t="shared" si="130"/>
        <v>134134</v>
      </c>
      <c r="AB77" s="494">
        <f>ROUND(U77*1%,0)</f>
        <v>3968</v>
      </c>
      <c r="AC77" s="14">
        <v>0</v>
      </c>
      <c r="AD77" s="892">
        <f t="shared" ref="AD77:AD140" si="134">Z77+AA77+AB77+AC77</f>
        <v>534949</v>
      </c>
      <c r="AE77" s="702">
        <v>0</v>
      </c>
      <c r="AF77" s="121">
        <v>1</v>
      </c>
      <c r="AG77" s="491">
        <v>0</v>
      </c>
      <c r="AH77" s="491">
        <v>0</v>
      </c>
      <c r="AI77" s="491">
        <v>0</v>
      </c>
      <c r="AJ77" s="491">
        <v>0</v>
      </c>
      <c r="AK77" s="626">
        <f>SUM(AE77:AJ77)</f>
        <v>1</v>
      </c>
      <c r="AL77" s="696">
        <f>I77+AD77</f>
        <v>534949</v>
      </c>
      <c r="AM77" s="492">
        <f>J77+U77</f>
        <v>396847</v>
      </c>
      <c r="AN77" s="492">
        <f>Y77</f>
        <v>0</v>
      </c>
      <c r="AO77" s="492">
        <f t="shared" si="131"/>
        <v>134134</v>
      </c>
      <c r="AP77" s="492">
        <f t="shared" si="131"/>
        <v>3968</v>
      </c>
      <c r="AQ77" s="578">
        <f t="shared" si="131"/>
        <v>0</v>
      </c>
      <c r="AR77" s="626">
        <f>N77+AK77</f>
        <v>1</v>
      </c>
    </row>
    <row r="78" spans="1:44" ht="13.5" customHeight="1" x14ac:dyDescent="0.2">
      <c r="A78" s="510">
        <v>23</v>
      </c>
      <c r="B78" s="508">
        <v>2429</v>
      </c>
      <c r="C78" s="509">
        <v>600079244</v>
      </c>
      <c r="D78" s="508">
        <v>72741708</v>
      </c>
      <c r="E78" s="506" t="s">
        <v>563</v>
      </c>
      <c r="F78" s="510"/>
      <c r="G78" s="506"/>
      <c r="H78" s="505"/>
      <c r="I78" s="629">
        <f t="shared" ref="I78:N78" si="135">SUM(I76:I77)</f>
        <v>6886483</v>
      </c>
      <c r="J78" s="504">
        <f t="shared" si="135"/>
        <v>5108667</v>
      </c>
      <c r="K78" s="504">
        <f t="shared" si="135"/>
        <v>1726729</v>
      </c>
      <c r="L78" s="504">
        <f t="shared" si="135"/>
        <v>51087</v>
      </c>
      <c r="M78" s="504">
        <f t="shared" si="135"/>
        <v>0</v>
      </c>
      <c r="N78" s="885">
        <f t="shared" si="135"/>
        <v>8.4515999999999991</v>
      </c>
      <c r="O78" s="629">
        <f t="shared" ref="O78:AR78" si="136">SUM(O76:O77)</f>
        <v>0</v>
      </c>
      <c r="P78" s="503">
        <f t="shared" si="136"/>
        <v>396847</v>
      </c>
      <c r="Q78" s="503">
        <f t="shared" si="136"/>
        <v>0</v>
      </c>
      <c r="R78" s="503">
        <f t="shared" si="136"/>
        <v>0</v>
      </c>
      <c r="S78" s="503">
        <f t="shared" si="136"/>
        <v>0</v>
      </c>
      <c r="T78" s="503">
        <f t="shared" si="136"/>
        <v>0</v>
      </c>
      <c r="U78" s="503">
        <f t="shared" si="136"/>
        <v>396847</v>
      </c>
      <c r="V78" s="503">
        <f t="shared" si="136"/>
        <v>0</v>
      </c>
      <c r="W78" s="503">
        <f t="shared" si="136"/>
        <v>0</v>
      </c>
      <c r="X78" s="503">
        <f t="shared" si="136"/>
        <v>0</v>
      </c>
      <c r="Y78" s="503">
        <f t="shared" si="136"/>
        <v>0</v>
      </c>
      <c r="Z78" s="503">
        <f t="shared" si="136"/>
        <v>396847</v>
      </c>
      <c r="AA78" s="503">
        <f t="shared" si="136"/>
        <v>134134</v>
      </c>
      <c r="AB78" s="503">
        <f t="shared" si="136"/>
        <v>3968</v>
      </c>
      <c r="AC78" s="503">
        <f t="shared" si="136"/>
        <v>0</v>
      </c>
      <c r="AD78" s="891">
        <f t="shared" si="136"/>
        <v>534949</v>
      </c>
      <c r="AE78" s="701">
        <f t="shared" si="136"/>
        <v>0</v>
      </c>
      <c r="AF78" s="701">
        <f t="shared" si="136"/>
        <v>1</v>
      </c>
      <c r="AG78" s="502">
        <f t="shared" si="136"/>
        <v>0</v>
      </c>
      <c r="AH78" s="502">
        <f t="shared" si="136"/>
        <v>0</v>
      </c>
      <c r="AI78" s="502">
        <f t="shared" si="136"/>
        <v>0</v>
      </c>
      <c r="AJ78" s="502">
        <f t="shared" si="136"/>
        <v>0</v>
      </c>
      <c r="AK78" s="630">
        <f t="shared" si="136"/>
        <v>1</v>
      </c>
      <c r="AL78" s="629">
        <f t="shared" si="136"/>
        <v>7421432</v>
      </c>
      <c r="AM78" s="503">
        <f t="shared" si="136"/>
        <v>5505514</v>
      </c>
      <c r="AN78" s="552">
        <f t="shared" si="136"/>
        <v>0</v>
      </c>
      <c r="AO78" s="503">
        <f t="shared" si="136"/>
        <v>1860863</v>
      </c>
      <c r="AP78" s="503">
        <f t="shared" si="136"/>
        <v>55055</v>
      </c>
      <c r="AQ78" s="503">
        <f t="shared" si="136"/>
        <v>0</v>
      </c>
      <c r="AR78" s="630">
        <f t="shared" si="136"/>
        <v>9.4515999999999991</v>
      </c>
    </row>
    <row r="79" spans="1:44" ht="14.1" customHeight="1" x14ac:dyDescent="0.2">
      <c r="A79" s="499">
        <v>24</v>
      </c>
      <c r="B79" s="512">
        <v>2412</v>
      </c>
      <c r="C79" s="513">
        <v>600079252</v>
      </c>
      <c r="D79" s="512">
        <v>72742429</v>
      </c>
      <c r="E79" s="511" t="s">
        <v>564</v>
      </c>
      <c r="F79" s="499">
        <v>3111</v>
      </c>
      <c r="G79" s="511" t="s">
        <v>277</v>
      </c>
      <c r="H79" s="495" t="s">
        <v>262</v>
      </c>
      <c r="I79" s="627">
        <f t="shared" si="132"/>
        <v>11557938</v>
      </c>
      <c r="J79" s="14">
        <v>8574138</v>
      </c>
      <c r="K79" s="14">
        <v>2898059</v>
      </c>
      <c r="L79" s="14">
        <v>85741</v>
      </c>
      <c r="M79" s="14">
        <v>0</v>
      </c>
      <c r="N79" s="121">
        <v>14.870900000000001</v>
      </c>
      <c r="O79" s="696">
        <f t="shared" si="133"/>
        <v>0</v>
      </c>
      <c r="P79" s="492">
        <v>0</v>
      </c>
      <c r="Q79" s="492">
        <v>0</v>
      </c>
      <c r="R79" s="492">
        <v>0</v>
      </c>
      <c r="S79" s="492">
        <v>0</v>
      </c>
      <c r="T79" s="492">
        <v>0</v>
      </c>
      <c r="U79" s="492">
        <f>O79+P79+Q79+R79+S79+T79</f>
        <v>0</v>
      </c>
      <c r="V79" s="492">
        <v>0</v>
      </c>
      <c r="W79" s="492">
        <v>0</v>
      </c>
      <c r="X79" s="492">
        <v>0</v>
      </c>
      <c r="Y79" s="492">
        <f t="shared" ref="Y79:Y80" si="137">V79+W79+X79</f>
        <v>0</v>
      </c>
      <c r="Z79" s="492">
        <f t="shared" ref="Z79:Z80" si="138">U79+Y79</f>
        <v>0</v>
      </c>
      <c r="AA79" s="494">
        <f t="shared" ref="AA79:AA80" si="139">ROUND((U79+Y79)*33.8%,0)</f>
        <v>0</v>
      </c>
      <c r="AB79" s="494">
        <f>ROUND(U79*1%,0)</f>
        <v>0</v>
      </c>
      <c r="AC79" s="14">
        <v>0</v>
      </c>
      <c r="AD79" s="892">
        <f t="shared" si="134"/>
        <v>0</v>
      </c>
      <c r="AE79" s="702">
        <v>0</v>
      </c>
      <c r="AF79" s="702">
        <v>0</v>
      </c>
      <c r="AG79" s="491">
        <v>0</v>
      </c>
      <c r="AH79" s="491">
        <v>0</v>
      </c>
      <c r="AI79" s="491">
        <v>0</v>
      </c>
      <c r="AJ79" s="491">
        <v>0</v>
      </c>
      <c r="AK79" s="626">
        <f>SUM(AE79:AJ79)</f>
        <v>0</v>
      </c>
      <c r="AL79" s="696">
        <f>I79+AD79</f>
        <v>11557938</v>
      </c>
      <c r="AM79" s="492">
        <f>J79+U79</f>
        <v>8574138</v>
      </c>
      <c r="AN79" s="492">
        <f>Y79</f>
        <v>0</v>
      </c>
      <c r="AO79" s="492">
        <f t="shared" ref="AO79:AQ80" si="140">K79+AA79</f>
        <v>2898059</v>
      </c>
      <c r="AP79" s="492">
        <f t="shared" si="140"/>
        <v>85741</v>
      </c>
      <c r="AQ79" s="578">
        <f t="shared" si="140"/>
        <v>0</v>
      </c>
      <c r="AR79" s="626">
        <f>N79+AK79</f>
        <v>14.870900000000001</v>
      </c>
    </row>
    <row r="80" spans="1:44" ht="14.1" customHeight="1" x14ac:dyDescent="0.2">
      <c r="A80" s="499">
        <v>24</v>
      </c>
      <c r="B80" s="512">
        <v>2412</v>
      </c>
      <c r="C80" s="513">
        <v>600079252</v>
      </c>
      <c r="D80" s="512">
        <v>72742429</v>
      </c>
      <c r="E80" s="511" t="s">
        <v>564</v>
      </c>
      <c r="F80" s="499">
        <v>3111</v>
      </c>
      <c r="G80" s="514" t="s">
        <v>278</v>
      </c>
      <c r="H80" s="495" t="s">
        <v>263</v>
      </c>
      <c r="I80" s="627">
        <f t="shared" si="132"/>
        <v>0</v>
      </c>
      <c r="J80" s="490">
        <v>0</v>
      </c>
      <c r="K80" s="14">
        <v>0</v>
      </c>
      <c r="L80" s="14">
        <v>0</v>
      </c>
      <c r="M80" s="14">
        <v>0</v>
      </c>
      <c r="N80" s="682">
        <v>0</v>
      </c>
      <c r="O80" s="696">
        <f t="shared" si="133"/>
        <v>-17660</v>
      </c>
      <c r="P80" s="490">
        <v>1468870</v>
      </c>
      <c r="Q80" s="492">
        <v>0</v>
      </c>
      <c r="R80" s="492">
        <v>0</v>
      </c>
      <c r="S80" s="492">
        <v>0</v>
      </c>
      <c r="T80" s="492">
        <v>0</v>
      </c>
      <c r="U80" s="492">
        <f>O80+P80+Q80+R80+S80+T80</f>
        <v>1451210</v>
      </c>
      <c r="V80" s="492">
        <v>17660</v>
      </c>
      <c r="W80" s="492">
        <v>0</v>
      </c>
      <c r="X80" s="492">
        <v>0</v>
      </c>
      <c r="Y80" s="492">
        <f t="shared" si="137"/>
        <v>17660</v>
      </c>
      <c r="Z80" s="492">
        <f t="shared" si="138"/>
        <v>1468870</v>
      </c>
      <c r="AA80" s="494">
        <f t="shared" si="139"/>
        <v>496478</v>
      </c>
      <c r="AB80" s="494">
        <f>ROUND(U80*1%,0)</f>
        <v>14512</v>
      </c>
      <c r="AC80" s="14">
        <v>0</v>
      </c>
      <c r="AD80" s="892">
        <f t="shared" si="134"/>
        <v>1979860</v>
      </c>
      <c r="AE80" s="702">
        <v>-0.03</v>
      </c>
      <c r="AF80" s="121">
        <v>3.94</v>
      </c>
      <c r="AG80" s="491">
        <v>0</v>
      </c>
      <c r="AH80" s="491">
        <v>0</v>
      </c>
      <c r="AI80" s="491">
        <v>0</v>
      </c>
      <c r="AJ80" s="491">
        <v>0</v>
      </c>
      <c r="AK80" s="626">
        <f>SUM(AE80:AJ80)</f>
        <v>3.91</v>
      </c>
      <c r="AL80" s="696">
        <f>I80+AD80</f>
        <v>1979860</v>
      </c>
      <c r="AM80" s="492">
        <f>J80+U80</f>
        <v>1451210</v>
      </c>
      <c r="AN80" s="492">
        <f>Y80</f>
        <v>17660</v>
      </c>
      <c r="AO80" s="492">
        <f t="shared" si="140"/>
        <v>496478</v>
      </c>
      <c r="AP80" s="492">
        <f t="shared" si="140"/>
        <v>14512</v>
      </c>
      <c r="AQ80" s="578">
        <f t="shared" si="140"/>
        <v>0</v>
      </c>
      <c r="AR80" s="626">
        <f>N80+AK80</f>
        <v>3.91</v>
      </c>
    </row>
    <row r="81" spans="1:44" ht="13.5" customHeight="1" x14ac:dyDescent="0.2">
      <c r="A81" s="510">
        <v>24</v>
      </c>
      <c r="B81" s="508">
        <v>2412</v>
      </c>
      <c r="C81" s="509">
        <v>600079252</v>
      </c>
      <c r="D81" s="508">
        <v>72742429</v>
      </c>
      <c r="E81" s="506" t="s">
        <v>565</v>
      </c>
      <c r="F81" s="510"/>
      <c r="G81" s="506"/>
      <c r="H81" s="505"/>
      <c r="I81" s="629">
        <f t="shared" ref="I81:N81" si="141">SUM(I79:I80)</f>
        <v>11557938</v>
      </c>
      <c r="J81" s="504">
        <f t="shared" si="141"/>
        <v>8574138</v>
      </c>
      <c r="K81" s="504">
        <f t="shared" si="141"/>
        <v>2898059</v>
      </c>
      <c r="L81" s="504">
        <f t="shared" si="141"/>
        <v>85741</v>
      </c>
      <c r="M81" s="504">
        <f t="shared" si="141"/>
        <v>0</v>
      </c>
      <c r="N81" s="885">
        <f t="shared" si="141"/>
        <v>14.870900000000001</v>
      </c>
      <c r="O81" s="629">
        <f t="shared" ref="O81:AR81" si="142">SUM(O79:O80)</f>
        <v>-17660</v>
      </c>
      <c r="P81" s="503">
        <f t="shared" si="142"/>
        <v>1468870</v>
      </c>
      <c r="Q81" s="503">
        <f t="shared" si="142"/>
        <v>0</v>
      </c>
      <c r="R81" s="503">
        <f t="shared" si="142"/>
        <v>0</v>
      </c>
      <c r="S81" s="503">
        <f t="shared" si="142"/>
        <v>0</v>
      </c>
      <c r="T81" s="503">
        <f t="shared" si="142"/>
        <v>0</v>
      </c>
      <c r="U81" s="503">
        <f t="shared" si="142"/>
        <v>1451210</v>
      </c>
      <c r="V81" s="503">
        <f t="shared" si="142"/>
        <v>17660</v>
      </c>
      <c r="W81" s="503">
        <f t="shared" si="142"/>
        <v>0</v>
      </c>
      <c r="X81" s="503">
        <f t="shared" si="142"/>
        <v>0</v>
      </c>
      <c r="Y81" s="503">
        <f t="shared" si="142"/>
        <v>17660</v>
      </c>
      <c r="Z81" s="503">
        <f t="shared" si="142"/>
        <v>1468870</v>
      </c>
      <c r="AA81" s="503">
        <f t="shared" si="142"/>
        <v>496478</v>
      </c>
      <c r="AB81" s="503">
        <f t="shared" si="142"/>
        <v>14512</v>
      </c>
      <c r="AC81" s="503">
        <f t="shared" si="142"/>
        <v>0</v>
      </c>
      <c r="AD81" s="891">
        <f t="shared" si="142"/>
        <v>1979860</v>
      </c>
      <c r="AE81" s="701">
        <f t="shared" si="142"/>
        <v>-0.03</v>
      </c>
      <c r="AF81" s="701">
        <f t="shared" si="142"/>
        <v>3.94</v>
      </c>
      <c r="AG81" s="502">
        <f t="shared" si="142"/>
        <v>0</v>
      </c>
      <c r="AH81" s="502">
        <f t="shared" si="142"/>
        <v>0</v>
      </c>
      <c r="AI81" s="502">
        <f t="shared" si="142"/>
        <v>0</v>
      </c>
      <c r="AJ81" s="502">
        <f t="shared" si="142"/>
        <v>0</v>
      </c>
      <c r="AK81" s="630">
        <f t="shared" si="142"/>
        <v>3.91</v>
      </c>
      <c r="AL81" s="629">
        <f t="shared" si="142"/>
        <v>13537798</v>
      </c>
      <c r="AM81" s="503">
        <f t="shared" si="142"/>
        <v>10025348</v>
      </c>
      <c r="AN81" s="552">
        <f t="shared" si="142"/>
        <v>17660</v>
      </c>
      <c r="AO81" s="503">
        <f t="shared" si="142"/>
        <v>3394537</v>
      </c>
      <c r="AP81" s="503">
        <f t="shared" si="142"/>
        <v>100253</v>
      </c>
      <c r="AQ81" s="503">
        <f t="shared" si="142"/>
        <v>0</v>
      </c>
      <c r="AR81" s="630">
        <f t="shared" si="142"/>
        <v>18.780900000000003</v>
      </c>
    </row>
    <row r="82" spans="1:44" ht="14.1" customHeight="1" x14ac:dyDescent="0.2">
      <c r="A82" s="499">
        <v>25</v>
      </c>
      <c r="B82" s="512">
        <v>2418</v>
      </c>
      <c r="C82" s="513">
        <v>600079261</v>
      </c>
      <c r="D82" s="512">
        <v>72741783</v>
      </c>
      <c r="E82" s="511" t="s">
        <v>566</v>
      </c>
      <c r="F82" s="499">
        <v>3111</v>
      </c>
      <c r="G82" s="511" t="s">
        <v>277</v>
      </c>
      <c r="H82" s="495" t="s">
        <v>262</v>
      </c>
      <c r="I82" s="627">
        <f t="shared" si="132"/>
        <v>3283271</v>
      </c>
      <c r="J82" s="14">
        <v>2435661</v>
      </c>
      <c r="K82" s="14">
        <v>823253</v>
      </c>
      <c r="L82" s="14">
        <v>24357</v>
      </c>
      <c r="M82" s="14">
        <v>0</v>
      </c>
      <c r="N82" s="121">
        <v>4</v>
      </c>
      <c r="O82" s="696">
        <f t="shared" si="133"/>
        <v>0</v>
      </c>
      <c r="P82" s="492">
        <v>0</v>
      </c>
      <c r="Q82" s="492">
        <v>0</v>
      </c>
      <c r="R82" s="492">
        <v>0</v>
      </c>
      <c r="S82" s="492">
        <v>0</v>
      </c>
      <c r="T82" s="492">
        <v>0</v>
      </c>
      <c r="U82" s="492">
        <f>O82+P82+Q82+R82+S82+T82</f>
        <v>0</v>
      </c>
      <c r="V82" s="492">
        <v>0</v>
      </c>
      <c r="W82" s="492">
        <v>0</v>
      </c>
      <c r="X82" s="492">
        <v>0</v>
      </c>
      <c r="Y82" s="492">
        <f t="shared" ref="Y82" si="143">V82+W82+X82</f>
        <v>0</v>
      </c>
      <c r="Z82" s="492">
        <f t="shared" ref="Z82" si="144">U82+Y82</f>
        <v>0</v>
      </c>
      <c r="AA82" s="494">
        <f t="shared" ref="AA82" si="145">ROUND((U82+Y82)*33.8%,0)</f>
        <v>0</v>
      </c>
      <c r="AB82" s="494">
        <f>ROUND(U82*1%,0)</f>
        <v>0</v>
      </c>
      <c r="AC82" s="14">
        <v>0</v>
      </c>
      <c r="AD82" s="892">
        <f t="shared" si="134"/>
        <v>0</v>
      </c>
      <c r="AE82" s="702">
        <v>0</v>
      </c>
      <c r="AF82" s="702">
        <v>0</v>
      </c>
      <c r="AG82" s="491">
        <v>0</v>
      </c>
      <c r="AH82" s="491">
        <v>0</v>
      </c>
      <c r="AI82" s="491">
        <v>0</v>
      </c>
      <c r="AJ82" s="491">
        <v>0</v>
      </c>
      <c r="AK82" s="626">
        <f>SUM(AE82:AJ82)</f>
        <v>0</v>
      </c>
      <c r="AL82" s="696">
        <f>I82+AD82</f>
        <v>3283271</v>
      </c>
      <c r="AM82" s="492">
        <f>J82+U82</f>
        <v>2435661</v>
      </c>
      <c r="AN82" s="492">
        <f>Y82</f>
        <v>0</v>
      </c>
      <c r="AO82" s="492">
        <f>K82+AA82</f>
        <v>823253</v>
      </c>
      <c r="AP82" s="492">
        <f>L82+AB82</f>
        <v>24357</v>
      </c>
      <c r="AQ82" s="578">
        <f>M82+AC82</f>
        <v>0</v>
      </c>
      <c r="AR82" s="626">
        <f>N82+AK82</f>
        <v>4</v>
      </c>
    </row>
    <row r="83" spans="1:44" ht="13.5" customHeight="1" x14ac:dyDescent="0.2">
      <c r="A83" s="510">
        <v>25</v>
      </c>
      <c r="B83" s="508">
        <v>2418</v>
      </c>
      <c r="C83" s="509">
        <v>600079261</v>
      </c>
      <c r="D83" s="508">
        <v>72741783</v>
      </c>
      <c r="E83" s="506" t="s">
        <v>567</v>
      </c>
      <c r="F83" s="510"/>
      <c r="G83" s="506"/>
      <c r="H83" s="505"/>
      <c r="I83" s="629">
        <f t="shared" ref="I83:N83" si="146">SUM(I82:I82)</f>
        <v>3283271</v>
      </c>
      <c r="J83" s="504">
        <f t="shared" si="146"/>
        <v>2435661</v>
      </c>
      <c r="K83" s="504">
        <f t="shared" si="146"/>
        <v>823253</v>
      </c>
      <c r="L83" s="504">
        <f t="shared" si="146"/>
        <v>24357</v>
      </c>
      <c r="M83" s="504">
        <f t="shared" si="146"/>
        <v>0</v>
      </c>
      <c r="N83" s="885">
        <f t="shared" si="146"/>
        <v>4</v>
      </c>
      <c r="O83" s="629">
        <f t="shared" ref="O83:AR83" si="147">SUM(O82:O82)</f>
        <v>0</v>
      </c>
      <c r="P83" s="503">
        <f t="shared" si="147"/>
        <v>0</v>
      </c>
      <c r="Q83" s="503">
        <f t="shared" si="147"/>
        <v>0</v>
      </c>
      <c r="R83" s="503">
        <f t="shared" si="147"/>
        <v>0</v>
      </c>
      <c r="S83" s="503">
        <f t="shared" si="147"/>
        <v>0</v>
      </c>
      <c r="T83" s="503">
        <f t="shared" si="147"/>
        <v>0</v>
      </c>
      <c r="U83" s="503">
        <f t="shared" si="147"/>
        <v>0</v>
      </c>
      <c r="V83" s="503">
        <f t="shared" si="147"/>
        <v>0</v>
      </c>
      <c r="W83" s="503">
        <f t="shared" si="147"/>
        <v>0</v>
      </c>
      <c r="X83" s="503">
        <f t="shared" si="147"/>
        <v>0</v>
      </c>
      <c r="Y83" s="503">
        <f t="shared" si="147"/>
        <v>0</v>
      </c>
      <c r="Z83" s="503">
        <f t="shared" si="147"/>
        <v>0</v>
      </c>
      <c r="AA83" s="503">
        <f t="shared" si="147"/>
        <v>0</v>
      </c>
      <c r="AB83" s="503">
        <f t="shared" si="147"/>
        <v>0</v>
      </c>
      <c r="AC83" s="503">
        <f t="shared" si="147"/>
        <v>0</v>
      </c>
      <c r="AD83" s="891">
        <f t="shared" si="147"/>
        <v>0</v>
      </c>
      <c r="AE83" s="701">
        <f t="shared" si="147"/>
        <v>0</v>
      </c>
      <c r="AF83" s="701">
        <f t="shared" si="147"/>
        <v>0</v>
      </c>
      <c r="AG83" s="502">
        <f t="shared" si="147"/>
        <v>0</v>
      </c>
      <c r="AH83" s="502">
        <f t="shared" si="147"/>
        <v>0</v>
      </c>
      <c r="AI83" s="502">
        <f t="shared" si="147"/>
        <v>0</v>
      </c>
      <c r="AJ83" s="502">
        <f t="shared" si="147"/>
        <v>0</v>
      </c>
      <c r="AK83" s="630">
        <f t="shared" si="147"/>
        <v>0</v>
      </c>
      <c r="AL83" s="629">
        <f t="shared" si="147"/>
        <v>3283271</v>
      </c>
      <c r="AM83" s="503">
        <f t="shared" si="147"/>
        <v>2435661</v>
      </c>
      <c r="AN83" s="552">
        <f t="shared" si="147"/>
        <v>0</v>
      </c>
      <c r="AO83" s="503">
        <f t="shared" si="147"/>
        <v>823253</v>
      </c>
      <c r="AP83" s="503">
        <f t="shared" si="147"/>
        <v>24357</v>
      </c>
      <c r="AQ83" s="503">
        <f t="shared" si="147"/>
        <v>0</v>
      </c>
      <c r="AR83" s="630">
        <f t="shared" si="147"/>
        <v>4</v>
      </c>
    </row>
    <row r="84" spans="1:44" ht="14.1" customHeight="1" x14ac:dyDescent="0.2">
      <c r="A84" s="499">
        <v>26</v>
      </c>
      <c r="B84" s="512">
        <v>2414</v>
      </c>
      <c r="C84" s="513">
        <v>600079295</v>
      </c>
      <c r="D84" s="512">
        <v>72742020</v>
      </c>
      <c r="E84" s="511" t="s">
        <v>568</v>
      </c>
      <c r="F84" s="499">
        <v>3111</v>
      </c>
      <c r="G84" s="511" t="s">
        <v>277</v>
      </c>
      <c r="H84" s="495" t="s">
        <v>262</v>
      </c>
      <c r="I84" s="627">
        <f t="shared" si="132"/>
        <v>4829785</v>
      </c>
      <c r="J84" s="14">
        <v>3582927</v>
      </c>
      <c r="K84" s="14">
        <v>1211029</v>
      </c>
      <c r="L84" s="14">
        <v>35829</v>
      </c>
      <c r="M84" s="14">
        <v>0</v>
      </c>
      <c r="N84" s="121">
        <v>6.2419000000000002</v>
      </c>
      <c r="O84" s="696">
        <f t="shared" si="133"/>
        <v>0</v>
      </c>
      <c r="P84" s="492">
        <v>0</v>
      </c>
      <c r="Q84" s="492">
        <v>0</v>
      </c>
      <c r="R84" s="492">
        <v>0</v>
      </c>
      <c r="S84" s="492">
        <v>0</v>
      </c>
      <c r="T84" s="492">
        <v>0</v>
      </c>
      <c r="U84" s="492">
        <f>O84+P84+Q84+R84+S84+T84</f>
        <v>0</v>
      </c>
      <c r="V84" s="492">
        <v>0</v>
      </c>
      <c r="W84" s="492">
        <v>0</v>
      </c>
      <c r="X84" s="492">
        <v>0</v>
      </c>
      <c r="Y84" s="492">
        <f t="shared" ref="Y84:Y85" si="148">V84+W84+X84</f>
        <v>0</v>
      </c>
      <c r="Z84" s="492">
        <f t="shared" ref="Z84:Z85" si="149">U84+Y84</f>
        <v>0</v>
      </c>
      <c r="AA84" s="494">
        <f t="shared" ref="AA84:AA85" si="150">ROUND((U84+Y84)*33.8%,0)</f>
        <v>0</v>
      </c>
      <c r="AB84" s="494">
        <f>ROUND(U84*1%,0)</f>
        <v>0</v>
      </c>
      <c r="AC84" s="14">
        <v>0</v>
      </c>
      <c r="AD84" s="892">
        <f t="shared" si="134"/>
        <v>0</v>
      </c>
      <c r="AE84" s="702">
        <v>0</v>
      </c>
      <c r="AF84" s="702">
        <v>0</v>
      </c>
      <c r="AG84" s="491">
        <v>0</v>
      </c>
      <c r="AH84" s="491">
        <v>0</v>
      </c>
      <c r="AI84" s="491">
        <v>0</v>
      </c>
      <c r="AJ84" s="491">
        <v>0</v>
      </c>
      <c r="AK84" s="626">
        <f>SUM(AE84:AJ84)</f>
        <v>0</v>
      </c>
      <c r="AL84" s="696">
        <f>I84+AD84</f>
        <v>4829785</v>
      </c>
      <c r="AM84" s="492">
        <f>J84+U84</f>
        <v>3582927</v>
      </c>
      <c r="AN84" s="492">
        <f>Y84</f>
        <v>0</v>
      </c>
      <c r="AO84" s="492">
        <f t="shared" ref="AO84:AQ85" si="151">K84+AA84</f>
        <v>1211029</v>
      </c>
      <c r="AP84" s="492">
        <f t="shared" si="151"/>
        <v>35829</v>
      </c>
      <c r="AQ84" s="578">
        <f t="shared" si="151"/>
        <v>0</v>
      </c>
      <c r="AR84" s="626">
        <f>N84+AK84</f>
        <v>6.2419000000000002</v>
      </c>
    </row>
    <row r="85" spans="1:44" ht="14.1" customHeight="1" x14ac:dyDescent="0.2">
      <c r="A85" s="499">
        <v>26</v>
      </c>
      <c r="B85" s="512">
        <v>2414</v>
      </c>
      <c r="C85" s="513">
        <v>600079295</v>
      </c>
      <c r="D85" s="512">
        <v>72742020</v>
      </c>
      <c r="E85" s="511" t="s">
        <v>568</v>
      </c>
      <c r="F85" s="499">
        <v>3111</v>
      </c>
      <c r="G85" s="514" t="s">
        <v>278</v>
      </c>
      <c r="H85" s="495" t="s">
        <v>263</v>
      </c>
      <c r="I85" s="627">
        <f t="shared" si="132"/>
        <v>0</v>
      </c>
      <c r="J85" s="490">
        <v>0</v>
      </c>
      <c r="K85" s="14">
        <v>0</v>
      </c>
      <c r="L85" s="14">
        <v>0</v>
      </c>
      <c r="M85" s="14">
        <v>0</v>
      </c>
      <c r="N85" s="682">
        <v>0</v>
      </c>
      <c r="O85" s="696">
        <f t="shared" si="133"/>
        <v>0</v>
      </c>
      <c r="P85" s="490">
        <v>99212</v>
      </c>
      <c r="Q85" s="492">
        <v>0</v>
      </c>
      <c r="R85" s="492">
        <v>0</v>
      </c>
      <c r="S85" s="492">
        <v>0</v>
      </c>
      <c r="T85" s="492">
        <v>0</v>
      </c>
      <c r="U85" s="492">
        <f>O85+P85+Q85+R85+S85+T85</f>
        <v>99212</v>
      </c>
      <c r="V85" s="492">
        <v>0</v>
      </c>
      <c r="W85" s="492">
        <v>0</v>
      </c>
      <c r="X85" s="492">
        <v>0</v>
      </c>
      <c r="Y85" s="492">
        <f t="shared" si="148"/>
        <v>0</v>
      </c>
      <c r="Z85" s="492">
        <f t="shared" si="149"/>
        <v>99212</v>
      </c>
      <c r="AA85" s="494">
        <f t="shared" si="150"/>
        <v>33534</v>
      </c>
      <c r="AB85" s="494">
        <f>ROUND(U85*1%,0)</f>
        <v>992</v>
      </c>
      <c r="AC85" s="14">
        <v>0</v>
      </c>
      <c r="AD85" s="892">
        <f t="shared" si="134"/>
        <v>133738</v>
      </c>
      <c r="AE85" s="702">
        <v>0</v>
      </c>
      <c r="AF85" s="121">
        <v>0.25</v>
      </c>
      <c r="AG85" s="491">
        <v>0</v>
      </c>
      <c r="AH85" s="491">
        <v>0</v>
      </c>
      <c r="AI85" s="491">
        <v>0</v>
      </c>
      <c r="AJ85" s="491">
        <v>0</v>
      </c>
      <c r="AK85" s="626">
        <f>SUM(AE85:AJ85)</f>
        <v>0.25</v>
      </c>
      <c r="AL85" s="696">
        <f>I85+AD85</f>
        <v>133738</v>
      </c>
      <c r="AM85" s="492">
        <f>J85+U85</f>
        <v>99212</v>
      </c>
      <c r="AN85" s="492">
        <f>Y85</f>
        <v>0</v>
      </c>
      <c r="AO85" s="492">
        <f t="shared" si="151"/>
        <v>33534</v>
      </c>
      <c r="AP85" s="492">
        <f t="shared" si="151"/>
        <v>992</v>
      </c>
      <c r="AQ85" s="578">
        <f t="shared" si="151"/>
        <v>0</v>
      </c>
      <c r="AR85" s="626">
        <f>N85+AK85</f>
        <v>0.25</v>
      </c>
    </row>
    <row r="86" spans="1:44" ht="14.1" customHeight="1" x14ac:dyDescent="0.2">
      <c r="A86" s="510">
        <v>26</v>
      </c>
      <c r="B86" s="508">
        <v>2414</v>
      </c>
      <c r="C86" s="509">
        <v>600079295</v>
      </c>
      <c r="D86" s="508">
        <v>72742020</v>
      </c>
      <c r="E86" s="506" t="s">
        <v>569</v>
      </c>
      <c r="F86" s="510"/>
      <c r="G86" s="506"/>
      <c r="H86" s="505"/>
      <c r="I86" s="629">
        <f t="shared" ref="I86:N86" si="152">SUM(I84:I85)</f>
        <v>4829785</v>
      </c>
      <c r="J86" s="504">
        <f t="shared" si="152"/>
        <v>3582927</v>
      </c>
      <c r="K86" s="504">
        <f t="shared" si="152"/>
        <v>1211029</v>
      </c>
      <c r="L86" s="504">
        <f t="shared" si="152"/>
        <v>35829</v>
      </c>
      <c r="M86" s="504">
        <f t="shared" si="152"/>
        <v>0</v>
      </c>
      <c r="N86" s="885">
        <f t="shared" si="152"/>
        <v>6.2419000000000002</v>
      </c>
      <c r="O86" s="629">
        <f t="shared" ref="O86:AR86" si="153">SUM(O84:O85)</f>
        <v>0</v>
      </c>
      <c r="P86" s="503">
        <f t="shared" si="153"/>
        <v>99212</v>
      </c>
      <c r="Q86" s="503">
        <f t="shared" si="153"/>
        <v>0</v>
      </c>
      <c r="R86" s="503">
        <f t="shared" si="153"/>
        <v>0</v>
      </c>
      <c r="S86" s="503">
        <f t="shared" si="153"/>
        <v>0</v>
      </c>
      <c r="T86" s="503">
        <f t="shared" si="153"/>
        <v>0</v>
      </c>
      <c r="U86" s="503">
        <f t="shared" si="153"/>
        <v>99212</v>
      </c>
      <c r="V86" s="503">
        <f t="shared" si="153"/>
        <v>0</v>
      </c>
      <c r="W86" s="503">
        <f t="shared" si="153"/>
        <v>0</v>
      </c>
      <c r="X86" s="503">
        <f t="shared" si="153"/>
        <v>0</v>
      </c>
      <c r="Y86" s="503">
        <f t="shared" si="153"/>
        <v>0</v>
      </c>
      <c r="Z86" s="503">
        <f t="shared" si="153"/>
        <v>99212</v>
      </c>
      <c r="AA86" s="503">
        <f t="shared" si="153"/>
        <v>33534</v>
      </c>
      <c r="AB86" s="503">
        <f t="shared" si="153"/>
        <v>992</v>
      </c>
      <c r="AC86" s="503">
        <f t="shared" si="153"/>
        <v>0</v>
      </c>
      <c r="AD86" s="891">
        <f t="shared" si="153"/>
        <v>133738</v>
      </c>
      <c r="AE86" s="701">
        <f t="shared" si="153"/>
        <v>0</v>
      </c>
      <c r="AF86" s="701">
        <f t="shared" si="153"/>
        <v>0.25</v>
      </c>
      <c r="AG86" s="502">
        <f t="shared" si="153"/>
        <v>0</v>
      </c>
      <c r="AH86" s="502">
        <f t="shared" si="153"/>
        <v>0</v>
      </c>
      <c r="AI86" s="502">
        <f t="shared" si="153"/>
        <v>0</v>
      </c>
      <c r="AJ86" s="502">
        <f t="shared" si="153"/>
        <v>0</v>
      </c>
      <c r="AK86" s="630">
        <f t="shared" si="153"/>
        <v>0.25</v>
      </c>
      <c r="AL86" s="629">
        <f t="shared" si="153"/>
        <v>4963523</v>
      </c>
      <c r="AM86" s="503">
        <f t="shared" si="153"/>
        <v>3682139</v>
      </c>
      <c r="AN86" s="552">
        <f t="shared" si="153"/>
        <v>0</v>
      </c>
      <c r="AO86" s="503">
        <f t="shared" si="153"/>
        <v>1244563</v>
      </c>
      <c r="AP86" s="503">
        <f t="shared" si="153"/>
        <v>36821</v>
      </c>
      <c r="AQ86" s="503">
        <f t="shared" si="153"/>
        <v>0</v>
      </c>
      <c r="AR86" s="630">
        <f t="shared" si="153"/>
        <v>6.4919000000000002</v>
      </c>
    </row>
    <row r="87" spans="1:44" ht="14.1" customHeight="1" x14ac:dyDescent="0.2">
      <c r="A87" s="499">
        <v>27</v>
      </c>
      <c r="B87" s="512">
        <v>2443</v>
      </c>
      <c r="C87" s="513">
        <v>600079309</v>
      </c>
      <c r="D87" s="512">
        <v>72743051</v>
      </c>
      <c r="E87" s="511" t="s">
        <v>570</v>
      </c>
      <c r="F87" s="499">
        <v>3111</v>
      </c>
      <c r="G87" s="511" t="s">
        <v>277</v>
      </c>
      <c r="H87" s="495" t="s">
        <v>262</v>
      </c>
      <c r="I87" s="627">
        <f t="shared" si="132"/>
        <v>4812223</v>
      </c>
      <c r="J87" s="14">
        <v>3569898</v>
      </c>
      <c r="K87" s="14">
        <v>1206626</v>
      </c>
      <c r="L87" s="14">
        <v>35699</v>
      </c>
      <c r="M87" s="14">
        <v>0</v>
      </c>
      <c r="N87" s="121">
        <v>6</v>
      </c>
      <c r="O87" s="696">
        <f t="shared" si="133"/>
        <v>0</v>
      </c>
      <c r="P87" s="492">
        <v>0</v>
      </c>
      <c r="Q87" s="492">
        <v>0</v>
      </c>
      <c r="R87" s="492">
        <v>0</v>
      </c>
      <c r="S87" s="492">
        <v>0</v>
      </c>
      <c r="T87" s="492">
        <v>0</v>
      </c>
      <c r="U87" s="492">
        <f>O87+P87+Q87+R87+S87+T87</f>
        <v>0</v>
      </c>
      <c r="V87" s="492">
        <v>0</v>
      </c>
      <c r="W87" s="492">
        <v>0</v>
      </c>
      <c r="X87" s="492">
        <v>0</v>
      </c>
      <c r="Y87" s="492">
        <f t="shared" ref="Y87:Y88" si="154">V87+W87+X87</f>
        <v>0</v>
      </c>
      <c r="Z87" s="492">
        <f t="shared" ref="Z87:Z88" si="155">U87+Y87</f>
        <v>0</v>
      </c>
      <c r="AA87" s="494">
        <f t="shared" ref="AA87:AA88" si="156">ROUND((U87+Y87)*33.8%,0)</f>
        <v>0</v>
      </c>
      <c r="AB87" s="494">
        <f>ROUND(U87*1%,0)</f>
        <v>0</v>
      </c>
      <c r="AC87" s="14">
        <v>0</v>
      </c>
      <c r="AD87" s="892">
        <f t="shared" si="134"/>
        <v>0</v>
      </c>
      <c r="AE87" s="702">
        <v>0</v>
      </c>
      <c r="AF87" s="702">
        <v>0</v>
      </c>
      <c r="AG87" s="491">
        <v>0</v>
      </c>
      <c r="AH87" s="491">
        <v>0</v>
      </c>
      <c r="AI87" s="491">
        <v>0</v>
      </c>
      <c r="AJ87" s="491">
        <v>0</v>
      </c>
      <c r="AK87" s="626">
        <f>SUM(AE87:AJ87)</f>
        <v>0</v>
      </c>
      <c r="AL87" s="696">
        <f>I87+AD87</f>
        <v>4812223</v>
      </c>
      <c r="AM87" s="492">
        <f>J87+U87</f>
        <v>3569898</v>
      </c>
      <c r="AN87" s="492">
        <f>Y87</f>
        <v>0</v>
      </c>
      <c r="AO87" s="492">
        <f t="shared" ref="AO87:AQ88" si="157">K87+AA87</f>
        <v>1206626</v>
      </c>
      <c r="AP87" s="492">
        <f t="shared" si="157"/>
        <v>35699</v>
      </c>
      <c r="AQ87" s="578">
        <f t="shared" si="157"/>
        <v>0</v>
      </c>
      <c r="AR87" s="626">
        <f>N87+AK87</f>
        <v>6</v>
      </c>
    </row>
    <row r="88" spans="1:44" ht="14.1" customHeight="1" x14ac:dyDescent="0.2">
      <c r="A88" s="499">
        <v>27</v>
      </c>
      <c r="B88" s="512">
        <v>2443</v>
      </c>
      <c r="C88" s="513">
        <v>600079309</v>
      </c>
      <c r="D88" s="512">
        <v>72743051</v>
      </c>
      <c r="E88" s="511" t="s">
        <v>570</v>
      </c>
      <c r="F88" s="499">
        <v>3111</v>
      </c>
      <c r="G88" s="514" t="s">
        <v>278</v>
      </c>
      <c r="H88" s="495" t="s">
        <v>263</v>
      </c>
      <c r="I88" s="627">
        <f t="shared" si="132"/>
        <v>0</v>
      </c>
      <c r="J88" s="490">
        <v>0</v>
      </c>
      <c r="K88" s="14">
        <v>0</v>
      </c>
      <c r="L88" s="14">
        <v>0</v>
      </c>
      <c r="M88" s="14">
        <v>0</v>
      </c>
      <c r="N88" s="682">
        <v>0</v>
      </c>
      <c r="O88" s="696">
        <f t="shared" si="133"/>
        <v>0</v>
      </c>
      <c r="P88" s="492">
        <v>0</v>
      </c>
      <c r="Q88" s="492">
        <v>0</v>
      </c>
      <c r="R88" s="492">
        <v>0</v>
      </c>
      <c r="S88" s="492">
        <v>0</v>
      </c>
      <c r="T88" s="492">
        <v>0</v>
      </c>
      <c r="U88" s="492">
        <f>O88+P88+Q88+R88+S88+T88</f>
        <v>0</v>
      </c>
      <c r="V88" s="492">
        <v>0</v>
      </c>
      <c r="W88" s="492">
        <v>0</v>
      </c>
      <c r="X88" s="492">
        <v>0</v>
      </c>
      <c r="Y88" s="492">
        <f t="shared" si="154"/>
        <v>0</v>
      </c>
      <c r="Z88" s="492">
        <f t="shared" si="155"/>
        <v>0</v>
      </c>
      <c r="AA88" s="494">
        <f t="shared" si="156"/>
        <v>0</v>
      </c>
      <c r="AB88" s="494">
        <f>ROUND(U88*1%,0)</f>
        <v>0</v>
      </c>
      <c r="AC88" s="14">
        <v>0</v>
      </c>
      <c r="AD88" s="892">
        <f t="shared" si="134"/>
        <v>0</v>
      </c>
      <c r="AE88" s="702">
        <v>0</v>
      </c>
      <c r="AF88" s="702">
        <v>0</v>
      </c>
      <c r="AG88" s="491">
        <v>0</v>
      </c>
      <c r="AH88" s="491">
        <v>0</v>
      </c>
      <c r="AI88" s="491">
        <v>0</v>
      </c>
      <c r="AJ88" s="491">
        <v>0</v>
      </c>
      <c r="AK88" s="626">
        <f>SUM(AE88:AJ88)</f>
        <v>0</v>
      </c>
      <c r="AL88" s="696">
        <f>I88+AD88</f>
        <v>0</v>
      </c>
      <c r="AM88" s="492">
        <f>J88+U88</f>
        <v>0</v>
      </c>
      <c r="AN88" s="492">
        <f>Y88</f>
        <v>0</v>
      </c>
      <c r="AO88" s="492">
        <f t="shared" si="157"/>
        <v>0</v>
      </c>
      <c r="AP88" s="492">
        <f t="shared" si="157"/>
        <v>0</v>
      </c>
      <c r="AQ88" s="578">
        <f t="shared" si="157"/>
        <v>0</v>
      </c>
      <c r="AR88" s="626">
        <f>N88+AK88</f>
        <v>0</v>
      </c>
    </row>
    <row r="89" spans="1:44" ht="14.1" customHeight="1" x14ac:dyDescent="0.2">
      <c r="A89" s="510">
        <v>27</v>
      </c>
      <c r="B89" s="508">
        <v>2443</v>
      </c>
      <c r="C89" s="509">
        <v>600079309</v>
      </c>
      <c r="D89" s="508">
        <v>72743051</v>
      </c>
      <c r="E89" s="506" t="s">
        <v>571</v>
      </c>
      <c r="F89" s="510"/>
      <c r="G89" s="506"/>
      <c r="H89" s="505"/>
      <c r="I89" s="629">
        <f t="shared" ref="I89:N89" si="158">SUM(I87:I88)</f>
        <v>4812223</v>
      </c>
      <c r="J89" s="504">
        <f t="shared" si="158"/>
        <v>3569898</v>
      </c>
      <c r="K89" s="504">
        <f t="shared" si="158"/>
        <v>1206626</v>
      </c>
      <c r="L89" s="504">
        <f t="shared" si="158"/>
        <v>35699</v>
      </c>
      <c r="M89" s="504">
        <f t="shared" si="158"/>
        <v>0</v>
      </c>
      <c r="N89" s="885">
        <f t="shared" si="158"/>
        <v>6</v>
      </c>
      <c r="O89" s="629">
        <f t="shared" ref="O89:AR89" si="159">SUM(O87:O88)</f>
        <v>0</v>
      </c>
      <c r="P89" s="503">
        <f t="shared" si="159"/>
        <v>0</v>
      </c>
      <c r="Q89" s="503">
        <f t="shared" si="159"/>
        <v>0</v>
      </c>
      <c r="R89" s="503">
        <f t="shared" si="159"/>
        <v>0</v>
      </c>
      <c r="S89" s="503">
        <f t="shared" si="159"/>
        <v>0</v>
      </c>
      <c r="T89" s="503">
        <f t="shared" si="159"/>
        <v>0</v>
      </c>
      <c r="U89" s="503">
        <f t="shared" si="159"/>
        <v>0</v>
      </c>
      <c r="V89" s="503">
        <f t="shared" si="159"/>
        <v>0</v>
      </c>
      <c r="W89" s="503">
        <f t="shared" si="159"/>
        <v>0</v>
      </c>
      <c r="X89" s="503">
        <f t="shared" si="159"/>
        <v>0</v>
      </c>
      <c r="Y89" s="503">
        <f t="shared" si="159"/>
        <v>0</v>
      </c>
      <c r="Z89" s="503">
        <f t="shared" si="159"/>
        <v>0</v>
      </c>
      <c r="AA89" s="503">
        <f t="shared" si="159"/>
        <v>0</v>
      </c>
      <c r="AB89" s="503">
        <f t="shared" si="159"/>
        <v>0</v>
      </c>
      <c r="AC89" s="503">
        <f t="shared" si="159"/>
        <v>0</v>
      </c>
      <c r="AD89" s="891">
        <f t="shared" si="159"/>
        <v>0</v>
      </c>
      <c r="AE89" s="701">
        <f t="shared" si="159"/>
        <v>0</v>
      </c>
      <c r="AF89" s="701">
        <f t="shared" si="159"/>
        <v>0</v>
      </c>
      <c r="AG89" s="502">
        <f t="shared" si="159"/>
        <v>0</v>
      </c>
      <c r="AH89" s="502">
        <f t="shared" si="159"/>
        <v>0</v>
      </c>
      <c r="AI89" s="502">
        <f t="shared" si="159"/>
        <v>0</v>
      </c>
      <c r="AJ89" s="502">
        <f t="shared" si="159"/>
        <v>0</v>
      </c>
      <c r="AK89" s="630">
        <f t="shared" si="159"/>
        <v>0</v>
      </c>
      <c r="AL89" s="629">
        <f t="shared" si="159"/>
        <v>4812223</v>
      </c>
      <c r="AM89" s="503">
        <f t="shared" si="159"/>
        <v>3569898</v>
      </c>
      <c r="AN89" s="552">
        <f t="shared" si="159"/>
        <v>0</v>
      </c>
      <c r="AO89" s="503">
        <f t="shared" si="159"/>
        <v>1206626</v>
      </c>
      <c r="AP89" s="503">
        <f t="shared" si="159"/>
        <v>35699</v>
      </c>
      <c r="AQ89" s="503">
        <f t="shared" si="159"/>
        <v>0</v>
      </c>
      <c r="AR89" s="630">
        <f t="shared" si="159"/>
        <v>6</v>
      </c>
    </row>
    <row r="90" spans="1:44" ht="14.1" customHeight="1" x14ac:dyDescent="0.2">
      <c r="A90" s="499">
        <v>28</v>
      </c>
      <c r="B90" s="512">
        <v>2425</v>
      </c>
      <c r="C90" s="513">
        <v>600079333</v>
      </c>
      <c r="D90" s="512">
        <v>72741864</v>
      </c>
      <c r="E90" s="511" t="s">
        <v>572</v>
      </c>
      <c r="F90" s="499">
        <v>3111</v>
      </c>
      <c r="G90" s="511" t="s">
        <v>277</v>
      </c>
      <c r="H90" s="495" t="s">
        <v>262</v>
      </c>
      <c r="I90" s="627">
        <f t="shared" si="132"/>
        <v>3185046</v>
      </c>
      <c r="J90" s="14">
        <v>2362794</v>
      </c>
      <c r="K90" s="14">
        <v>798624</v>
      </c>
      <c r="L90" s="14">
        <v>23628</v>
      </c>
      <c r="M90" s="14">
        <v>0</v>
      </c>
      <c r="N90" s="121">
        <v>4</v>
      </c>
      <c r="O90" s="696">
        <f t="shared" si="133"/>
        <v>0</v>
      </c>
      <c r="P90" s="492">
        <v>0</v>
      </c>
      <c r="Q90" s="492">
        <v>0</v>
      </c>
      <c r="R90" s="492">
        <v>0</v>
      </c>
      <c r="S90" s="492">
        <v>0</v>
      </c>
      <c r="T90" s="492">
        <v>0</v>
      </c>
      <c r="U90" s="492">
        <f>O90+P90+Q90+R90+S90+T90</f>
        <v>0</v>
      </c>
      <c r="V90" s="492">
        <v>0</v>
      </c>
      <c r="W90" s="492">
        <v>0</v>
      </c>
      <c r="X90" s="492">
        <v>0</v>
      </c>
      <c r="Y90" s="492">
        <f t="shared" ref="Y90" si="160">V90+W90+X90</f>
        <v>0</v>
      </c>
      <c r="Z90" s="492">
        <f t="shared" ref="Z90" si="161">U90+Y90</f>
        <v>0</v>
      </c>
      <c r="AA90" s="494">
        <f t="shared" ref="AA90" si="162">ROUND((U90+Y90)*33.8%,0)</f>
        <v>0</v>
      </c>
      <c r="AB90" s="494">
        <f>ROUND(U90*1%,0)</f>
        <v>0</v>
      </c>
      <c r="AC90" s="14">
        <v>0</v>
      </c>
      <c r="AD90" s="892">
        <f t="shared" si="134"/>
        <v>0</v>
      </c>
      <c r="AE90" s="702">
        <v>0</v>
      </c>
      <c r="AF90" s="702">
        <v>0</v>
      </c>
      <c r="AG90" s="491">
        <v>0</v>
      </c>
      <c r="AH90" s="491">
        <v>0</v>
      </c>
      <c r="AI90" s="491">
        <v>0</v>
      </c>
      <c r="AJ90" s="491">
        <v>0</v>
      </c>
      <c r="AK90" s="626">
        <f>SUM(AE90:AJ90)</f>
        <v>0</v>
      </c>
      <c r="AL90" s="696">
        <f>I90+AD90</f>
        <v>3185046</v>
      </c>
      <c r="AM90" s="492">
        <f>J90+U90</f>
        <v>2362794</v>
      </c>
      <c r="AN90" s="492">
        <f>Y90</f>
        <v>0</v>
      </c>
      <c r="AO90" s="492">
        <f>K90+AA90</f>
        <v>798624</v>
      </c>
      <c r="AP90" s="492">
        <f>L90+AB90</f>
        <v>23628</v>
      </c>
      <c r="AQ90" s="578">
        <f>M90+AC90</f>
        <v>0</v>
      </c>
      <c r="AR90" s="626">
        <f>N90+AK90</f>
        <v>4</v>
      </c>
    </row>
    <row r="91" spans="1:44" ht="14.1" customHeight="1" x14ac:dyDescent="0.2">
      <c r="A91" s="510">
        <v>28</v>
      </c>
      <c r="B91" s="508">
        <v>2425</v>
      </c>
      <c r="C91" s="509">
        <v>600079333</v>
      </c>
      <c r="D91" s="508">
        <v>72741864</v>
      </c>
      <c r="E91" s="506" t="s">
        <v>573</v>
      </c>
      <c r="F91" s="510"/>
      <c r="G91" s="506"/>
      <c r="H91" s="505"/>
      <c r="I91" s="629">
        <f t="shared" ref="I91:N91" si="163">SUM(I90:I90)</f>
        <v>3185046</v>
      </c>
      <c r="J91" s="504">
        <f t="shared" si="163"/>
        <v>2362794</v>
      </c>
      <c r="K91" s="504">
        <f t="shared" si="163"/>
        <v>798624</v>
      </c>
      <c r="L91" s="504">
        <f t="shared" si="163"/>
        <v>23628</v>
      </c>
      <c r="M91" s="504">
        <f t="shared" si="163"/>
        <v>0</v>
      </c>
      <c r="N91" s="885">
        <f t="shared" si="163"/>
        <v>4</v>
      </c>
      <c r="O91" s="629">
        <f t="shared" ref="O91:AR91" si="164">SUM(O90:O90)</f>
        <v>0</v>
      </c>
      <c r="P91" s="503">
        <f t="shared" si="164"/>
        <v>0</v>
      </c>
      <c r="Q91" s="503">
        <f t="shared" si="164"/>
        <v>0</v>
      </c>
      <c r="R91" s="503">
        <f t="shared" si="164"/>
        <v>0</v>
      </c>
      <c r="S91" s="503">
        <f t="shared" si="164"/>
        <v>0</v>
      </c>
      <c r="T91" s="503">
        <f t="shared" si="164"/>
        <v>0</v>
      </c>
      <c r="U91" s="503">
        <f t="shared" si="164"/>
        <v>0</v>
      </c>
      <c r="V91" s="503">
        <f t="shared" si="164"/>
        <v>0</v>
      </c>
      <c r="W91" s="503">
        <f t="shared" si="164"/>
        <v>0</v>
      </c>
      <c r="X91" s="503">
        <f t="shared" si="164"/>
        <v>0</v>
      </c>
      <c r="Y91" s="503">
        <f t="shared" si="164"/>
        <v>0</v>
      </c>
      <c r="Z91" s="503">
        <f t="shared" si="164"/>
        <v>0</v>
      </c>
      <c r="AA91" s="503">
        <f t="shared" si="164"/>
        <v>0</v>
      </c>
      <c r="AB91" s="503">
        <f t="shared" si="164"/>
        <v>0</v>
      </c>
      <c r="AC91" s="503">
        <f t="shared" si="164"/>
        <v>0</v>
      </c>
      <c r="AD91" s="891">
        <f t="shared" si="164"/>
        <v>0</v>
      </c>
      <c r="AE91" s="701">
        <f t="shared" si="164"/>
        <v>0</v>
      </c>
      <c r="AF91" s="701">
        <f t="shared" si="164"/>
        <v>0</v>
      </c>
      <c r="AG91" s="502">
        <f t="shared" si="164"/>
        <v>0</v>
      </c>
      <c r="AH91" s="502">
        <f t="shared" si="164"/>
        <v>0</v>
      </c>
      <c r="AI91" s="502">
        <f t="shared" si="164"/>
        <v>0</v>
      </c>
      <c r="AJ91" s="502">
        <f t="shared" si="164"/>
        <v>0</v>
      </c>
      <c r="AK91" s="630">
        <f t="shared" si="164"/>
        <v>0</v>
      </c>
      <c r="AL91" s="629">
        <f t="shared" si="164"/>
        <v>3185046</v>
      </c>
      <c r="AM91" s="503">
        <f t="shared" si="164"/>
        <v>2362794</v>
      </c>
      <c r="AN91" s="552">
        <f t="shared" si="164"/>
        <v>0</v>
      </c>
      <c r="AO91" s="503">
        <f t="shared" si="164"/>
        <v>798624</v>
      </c>
      <c r="AP91" s="503">
        <f t="shared" si="164"/>
        <v>23628</v>
      </c>
      <c r="AQ91" s="503">
        <f t="shared" si="164"/>
        <v>0</v>
      </c>
      <c r="AR91" s="630">
        <f t="shared" si="164"/>
        <v>4</v>
      </c>
    </row>
    <row r="92" spans="1:44" ht="14.1" customHeight="1" x14ac:dyDescent="0.2">
      <c r="A92" s="499">
        <v>29</v>
      </c>
      <c r="B92" s="512">
        <v>2433</v>
      </c>
      <c r="C92" s="513">
        <v>600079643</v>
      </c>
      <c r="D92" s="512">
        <v>66113334</v>
      </c>
      <c r="E92" s="511" t="s">
        <v>574</v>
      </c>
      <c r="F92" s="499">
        <v>3111</v>
      </c>
      <c r="G92" s="511" t="s">
        <v>277</v>
      </c>
      <c r="H92" s="495" t="s">
        <v>262</v>
      </c>
      <c r="I92" s="627">
        <f t="shared" si="132"/>
        <v>6600280</v>
      </c>
      <c r="J92" s="14">
        <v>4896350</v>
      </c>
      <c r="K92" s="14">
        <v>1654966</v>
      </c>
      <c r="L92" s="14">
        <v>48964</v>
      </c>
      <c r="M92" s="14">
        <v>0</v>
      </c>
      <c r="N92" s="121">
        <v>8.4192999999999998</v>
      </c>
      <c r="O92" s="696">
        <f t="shared" si="133"/>
        <v>0</v>
      </c>
      <c r="P92" s="492">
        <v>0</v>
      </c>
      <c r="Q92" s="492">
        <v>0</v>
      </c>
      <c r="R92" s="492">
        <v>0</v>
      </c>
      <c r="S92" s="492">
        <v>0</v>
      </c>
      <c r="T92" s="492">
        <v>0</v>
      </c>
      <c r="U92" s="492">
        <f>O92+P92+Q92+R92+S92+T92</f>
        <v>0</v>
      </c>
      <c r="V92" s="492">
        <v>0</v>
      </c>
      <c r="W92" s="492">
        <v>0</v>
      </c>
      <c r="X92" s="492">
        <v>0</v>
      </c>
      <c r="Y92" s="492">
        <f t="shared" ref="Y92:Y93" si="165">V92+W92+X92</f>
        <v>0</v>
      </c>
      <c r="Z92" s="492">
        <f t="shared" ref="Z92:Z93" si="166">U92+Y92</f>
        <v>0</v>
      </c>
      <c r="AA92" s="494">
        <f t="shared" ref="AA92:AA93" si="167">ROUND((U92+Y92)*33.8%,0)</f>
        <v>0</v>
      </c>
      <c r="AB92" s="494">
        <f>ROUND(U92*1%,0)</f>
        <v>0</v>
      </c>
      <c r="AC92" s="14">
        <v>0</v>
      </c>
      <c r="AD92" s="892">
        <f t="shared" si="134"/>
        <v>0</v>
      </c>
      <c r="AE92" s="702">
        <v>0</v>
      </c>
      <c r="AF92" s="702">
        <v>0</v>
      </c>
      <c r="AG92" s="491">
        <v>0</v>
      </c>
      <c r="AH92" s="491">
        <v>0</v>
      </c>
      <c r="AI92" s="491">
        <v>0</v>
      </c>
      <c r="AJ92" s="491">
        <v>0</v>
      </c>
      <c r="AK92" s="626">
        <f>SUM(AE92:AJ92)</f>
        <v>0</v>
      </c>
      <c r="AL92" s="696">
        <f>I92+AD92</f>
        <v>6600280</v>
      </c>
      <c r="AM92" s="492">
        <f>J92+U92</f>
        <v>4896350</v>
      </c>
      <c r="AN92" s="492">
        <f>Y92</f>
        <v>0</v>
      </c>
      <c r="AO92" s="492">
        <f t="shared" ref="AO92:AQ93" si="168">K92+AA92</f>
        <v>1654966</v>
      </c>
      <c r="AP92" s="492">
        <f t="shared" si="168"/>
        <v>48964</v>
      </c>
      <c r="AQ92" s="578">
        <f t="shared" si="168"/>
        <v>0</v>
      </c>
      <c r="AR92" s="626">
        <f>N92+AK92</f>
        <v>8.4192999999999998</v>
      </c>
    </row>
    <row r="93" spans="1:44" ht="14.1" customHeight="1" x14ac:dyDescent="0.2">
      <c r="A93" s="499">
        <v>29</v>
      </c>
      <c r="B93" s="512">
        <v>2433</v>
      </c>
      <c r="C93" s="513">
        <v>600079643</v>
      </c>
      <c r="D93" s="512">
        <v>66113334</v>
      </c>
      <c r="E93" s="511" t="s">
        <v>574</v>
      </c>
      <c r="F93" s="499">
        <v>3111</v>
      </c>
      <c r="G93" s="511" t="s">
        <v>278</v>
      </c>
      <c r="H93" s="495" t="s">
        <v>263</v>
      </c>
      <c r="I93" s="627">
        <f t="shared" si="132"/>
        <v>0</v>
      </c>
      <c r="J93" s="490">
        <v>0</v>
      </c>
      <c r="K93" s="14">
        <v>0</v>
      </c>
      <c r="L93" s="14">
        <v>0</v>
      </c>
      <c r="M93" s="14">
        <v>0</v>
      </c>
      <c r="N93" s="682">
        <v>0</v>
      </c>
      <c r="O93" s="696">
        <f t="shared" si="133"/>
        <v>0</v>
      </c>
      <c r="P93" s="490">
        <v>948028</v>
      </c>
      <c r="Q93" s="492">
        <v>0</v>
      </c>
      <c r="R93" s="492">
        <v>0</v>
      </c>
      <c r="S93" s="492">
        <v>0</v>
      </c>
      <c r="T93" s="492">
        <v>0</v>
      </c>
      <c r="U93" s="492">
        <f>O93+P93+Q93+R93+S93+T93</f>
        <v>948028</v>
      </c>
      <c r="V93" s="492">
        <v>0</v>
      </c>
      <c r="W93" s="492">
        <v>0</v>
      </c>
      <c r="X93" s="492">
        <v>0</v>
      </c>
      <c r="Y93" s="492">
        <f t="shared" si="165"/>
        <v>0</v>
      </c>
      <c r="Z93" s="492">
        <f t="shared" si="166"/>
        <v>948028</v>
      </c>
      <c r="AA93" s="494">
        <f t="shared" si="167"/>
        <v>320433</v>
      </c>
      <c r="AB93" s="494">
        <f>ROUND(U93*1%,0)</f>
        <v>9480</v>
      </c>
      <c r="AC93" s="14">
        <v>0</v>
      </c>
      <c r="AD93" s="892">
        <f t="shared" si="134"/>
        <v>1277941</v>
      </c>
      <c r="AE93" s="702">
        <v>0</v>
      </c>
      <c r="AF93" s="121">
        <v>2.39</v>
      </c>
      <c r="AG93" s="491">
        <v>0</v>
      </c>
      <c r="AH93" s="491">
        <v>0</v>
      </c>
      <c r="AI93" s="491">
        <v>0</v>
      </c>
      <c r="AJ93" s="491">
        <v>0</v>
      </c>
      <c r="AK93" s="626">
        <f>SUM(AE93:AJ93)</f>
        <v>2.39</v>
      </c>
      <c r="AL93" s="696">
        <f>I93+AD93</f>
        <v>1277941</v>
      </c>
      <c r="AM93" s="492">
        <f>J93+U93</f>
        <v>948028</v>
      </c>
      <c r="AN93" s="492">
        <f>Y93</f>
        <v>0</v>
      </c>
      <c r="AO93" s="492">
        <f t="shared" si="168"/>
        <v>320433</v>
      </c>
      <c r="AP93" s="492">
        <f t="shared" si="168"/>
        <v>9480</v>
      </c>
      <c r="AQ93" s="578">
        <f t="shared" si="168"/>
        <v>0</v>
      </c>
      <c r="AR93" s="626">
        <f>N93+AK93</f>
        <v>2.39</v>
      </c>
    </row>
    <row r="94" spans="1:44" ht="14.1" customHeight="1" x14ac:dyDescent="0.2">
      <c r="A94" s="510">
        <v>29</v>
      </c>
      <c r="B94" s="508">
        <v>2433</v>
      </c>
      <c r="C94" s="509">
        <v>600079643</v>
      </c>
      <c r="D94" s="508">
        <v>66113334</v>
      </c>
      <c r="E94" s="506" t="s">
        <v>575</v>
      </c>
      <c r="F94" s="510"/>
      <c r="G94" s="506"/>
      <c r="H94" s="505"/>
      <c r="I94" s="629">
        <f t="shared" ref="I94:N94" si="169">SUM(I92:I93)</f>
        <v>6600280</v>
      </c>
      <c r="J94" s="504">
        <f t="shared" si="169"/>
        <v>4896350</v>
      </c>
      <c r="K94" s="504">
        <f t="shared" si="169"/>
        <v>1654966</v>
      </c>
      <c r="L94" s="504">
        <f t="shared" si="169"/>
        <v>48964</v>
      </c>
      <c r="M94" s="504">
        <f t="shared" si="169"/>
        <v>0</v>
      </c>
      <c r="N94" s="885">
        <f t="shared" si="169"/>
        <v>8.4192999999999998</v>
      </c>
      <c r="O94" s="629">
        <f t="shared" ref="O94:AR94" si="170">SUM(O92:O93)</f>
        <v>0</v>
      </c>
      <c r="P94" s="503">
        <f t="shared" si="170"/>
        <v>948028</v>
      </c>
      <c r="Q94" s="503">
        <f t="shared" si="170"/>
        <v>0</v>
      </c>
      <c r="R94" s="503">
        <f t="shared" si="170"/>
        <v>0</v>
      </c>
      <c r="S94" s="503">
        <f t="shared" si="170"/>
        <v>0</v>
      </c>
      <c r="T94" s="503">
        <f t="shared" si="170"/>
        <v>0</v>
      </c>
      <c r="U94" s="503">
        <f t="shared" si="170"/>
        <v>948028</v>
      </c>
      <c r="V94" s="503">
        <f t="shared" si="170"/>
        <v>0</v>
      </c>
      <c r="W94" s="503">
        <f t="shared" si="170"/>
        <v>0</v>
      </c>
      <c r="X94" s="503">
        <f t="shared" si="170"/>
        <v>0</v>
      </c>
      <c r="Y94" s="503">
        <f t="shared" si="170"/>
        <v>0</v>
      </c>
      <c r="Z94" s="503">
        <f t="shared" si="170"/>
        <v>948028</v>
      </c>
      <c r="AA94" s="503">
        <f t="shared" si="170"/>
        <v>320433</v>
      </c>
      <c r="AB94" s="503">
        <f t="shared" si="170"/>
        <v>9480</v>
      </c>
      <c r="AC94" s="503">
        <f t="shared" si="170"/>
        <v>0</v>
      </c>
      <c r="AD94" s="891">
        <f t="shared" si="170"/>
        <v>1277941</v>
      </c>
      <c r="AE94" s="701">
        <f t="shared" si="170"/>
        <v>0</v>
      </c>
      <c r="AF94" s="701">
        <f t="shared" si="170"/>
        <v>2.39</v>
      </c>
      <c r="AG94" s="502">
        <f t="shared" si="170"/>
        <v>0</v>
      </c>
      <c r="AH94" s="502">
        <f t="shared" si="170"/>
        <v>0</v>
      </c>
      <c r="AI94" s="502">
        <f t="shared" si="170"/>
        <v>0</v>
      </c>
      <c r="AJ94" s="502">
        <f t="shared" si="170"/>
        <v>0</v>
      </c>
      <c r="AK94" s="630">
        <f t="shared" si="170"/>
        <v>2.39</v>
      </c>
      <c r="AL94" s="629">
        <f t="shared" si="170"/>
        <v>7878221</v>
      </c>
      <c r="AM94" s="503">
        <f t="shared" si="170"/>
        <v>5844378</v>
      </c>
      <c r="AN94" s="552">
        <f t="shared" si="170"/>
        <v>0</v>
      </c>
      <c r="AO94" s="503">
        <f t="shared" si="170"/>
        <v>1975399</v>
      </c>
      <c r="AP94" s="503">
        <f t="shared" si="170"/>
        <v>58444</v>
      </c>
      <c r="AQ94" s="503">
        <f t="shared" si="170"/>
        <v>0</v>
      </c>
      <c r="AR94" s="630">
        <f t="shared" si="170"/>
        <v>10.8093</v>
      </c>
    </row>
    <row r="95" spans="1:44" ht="14.1" customHeight="1" x14ac:dyDescent="0.2">
      <c r="A95" s="499">
        <v>30</v>
      </c>
      <c r="B95" s="512">
        <v>2435</v>
      </c>
      <c r="C95" s="513">
        <v>600079341</v>
      </c>
      <c r="D95" s="512">
        <v>72743069</v>
      </c>
      <c r="E95" s="511" t="s">
        <v>576</v>
      </c>
      <c r="F95" s="499">
        <v>3111</v>
      </c>
      <c r="G95" s="511" t="s">
        <v>277</v>
      </c>
      <c r="H95" s="495" t="s">
        <v>262</v>
      </c>
      <c r="I95" s="627">
        <f t="shared" si="132"/>
        <v>6856747</v>
      </c>
      <c r="J95" s="14">
        <v>5086607</v>
      </c>
      <c r="K95" s="14">
        <v>1719274</v>
      </c>
      <c r="L95" s="14">
        <v>50866</v>
      </c>
      <c r="M95" s="14">
        <v>0</v>
      </c>
      <c r="N95" s="121">
        <v>8.0731000000000002</v>
      </c>
      <c r="O95" s="696">
        <f t="shared" si="133"/>
        <v>0</v>
      </c>
      <c r="P95" s="492">
        <v>0</v>
      </c>
      <c r="Q95" s="492">
        <v>0</v>
      </c>
      <c r="R95" s="492">
        <v>0</v>
      </c>
      <c r="S95" s="492">
        <v>0</v>
      </c>
      <c r="T95" s="492">
        <v>0</v>
      </c>
      <c r="U95" s="492">
        <f>O95+P95+Q95+R95+S95+T95</f>
        <v>0</v>
      </c>
      <c r="V95" s="492">
        <v>0</v>
      </c>
      <c r="W95" s="492">
        <v>0</v>
      </c>
      <c r="X95" s="492">
        <v>0</v>
      </c>
      <c r="Y95" s="492">
        <f t="shared" ref="Y95:Y97" si="171">V95+W95+X95</f>
        <v>0</v>
      </c>
      <c r="Z95" s="492">
        <f t="shared" ref="Z95:Z97" si="172">U95+Y95</f>
        <v>0</v>
      </c>
      <c r="AA95" s="494">
        <f t="shared" ref="AA95:AA97" si="173">ROUND((U95+Y95)*33.8%,0)</f>
        <v>0</v>
      </c>
      <c r="AB95" s="494">
        <f>ROUND(U95*1%,0)</f>
        <v>0</v>
      </c>
      <c r="AC95" s="14">
        <v>0</v>
      </c>
      <c r="AD95" s="892">
        <f t="shared" si="134"/>
        <v>0</v>
      </c>
      <c r="AE95" s="702">
        <v>0</v>
      </c>
      <c r="AF95" s="702">
        <v>0</v>
      </c>
      <c r="AG95" s="491">
        <v>0</v>
      </c>
      <c r="AH95" s="491">
        <v>0</v>
      </c>
      <c r="AI95" s="491">
        <v>0</v>
      </c>
      <c r="AJ95" s="491">
        <v>0</v>
      </c>
      <c r="AK95" s="626">
        <f>SUM(AE95:AJ95)</f>
        <v>0</v>
      </c>
      <c r="AL95" s="696">
        <f>I95+AD95</f>
        <v>6856747</v>
      </c>
      <c r="AM95" s="492">
        <f>J95+U95</f>
        <v>5086607</v>
      </c>
      <c r="AN95" s="492">
        <f>Y95</f>
        <v>0</v>
      </c>
      <c r="AO95" s="492">
        <f t="shared" ref="AO95:AQ97" si="174">K95+AA95</f>
        <v>1719274</v>
      </c>
      <c r="AP95" s="492">
        <f t="shared" si="174"/>
        <v>50866</v>
      </c>
      <c r="AQ95" s="578">
        <f t="shared" si="174"/>
        <v>0</v>
      </c>
      <c r="AR95" s="626">
        <f>N95+AK95</f>
        <v>8.0731000000000002</v>
      </c>
    </row>
    <row r="96" spans="1:44" ht="14.1" customHeight="1" x14ac:dyDescent="0.2">
      <c r="A96" s="499">
        <v>30</v>
      </c>
      <c r="B96" s="512">
        <v>2435</v>
      </c>
      <c r="C96" s="513">
        <v>600079341</v>
      </c>
      <c r="D96" s="512">
        <v>72743069</v>
      </c>
      <c r="E96" s="511" t="s">
        <v>576</v>
      </c>
      <c r="F96" s="499">
        <v>3111</v>
      </c>
      <c r="G96" s="39" t="s">
        <v>279</v>
      </c>
      <c r="H96" s="495" t="s">
        <v>262</v>
      </c>
      <c r="I96" s="627">
        <f t="shared" si="132"/>
        <v>512149</v>
      </c>
      <c r="J96" s="14">
        <v>379933</v>
      </c>
      <c r="K96" s="14">
        <v>128417</v>
      </c>
      <c r="L96" s="14">
        <v>3799</v>
      </c>
      <c r="M96" s="14">
        <v>0</v>
      </c>
      <c r="N96" s="121">
        <v>0.9</v>
      </c>
      <c r="O96" s="696">
        <f t="shared" si="133"/>
        <v>0</v>
      </c>
      <c r="P96" s="492">
        <v>0</v>
      </c>
      <c r="Q96" s="492">
        <v>0</v>
      </c>
      <c r="R96" s="492">
        <v>0</v>
      </c>
      <c r="S96" s="492">
        <v>0</v>
      </c>
      <c r="T96" s="492">
        <v>0</v>
      </c>
      <c r="U96" s="492">
        <f>O96+P96+Q96+R96+S96+T96</f>
        <v>0</v>
      </c>
      <c r="V96" s="492">
        <v>0</v>
      </c>
      <c r="W96" s="492">
        <v>0</v>
      </c>
      <c r="X96" s="492">
        <v>0</v>
      </c>
      <c r="Y96" s="492">
        <f t="shared" si="171"/>
        <v>0</v>
      </c>
      <c r="Z96" s="492">
        <f t="shared" si="172"/>
        <v>0</v>
      </c>
      <c r="AA96" s="494">
        <f t="shared" si="173"/>
        <v>0</v>
      </c>
      <c r="AB96" s="494">
        <f>ROUND(U96*1%,0)</f>
        <v>0</v>
      </c>
      <c r="AC96" s="14">
        <v>0</v>
      </c>
      <c r="AD96" s="892">
        <f t="shared" si="134"/>
        <v>0</v>
      </c>
      <c r="AE96" s="702">
        <v>0</v>
      </c>
      <c r="AF96" s="702">
        <v>0</v>
      </c>
      <c r="AG96" s="491">
        <v>0</v>
      </c>
      <c r="AH96" s="491">
        <v>0</v>
      </c>
      <c r="AI96" s="491">
        <v>0</v>
      </c>
      <c r="AJ96" s="491">
        <v>0</v>
      </c>
      <c r="AK96" s="626">
        <f>SUM(AE96:AJ96)</f>
        <v>0</v>
      </c>
      <c r="AL96" s="696">
        <f>I96+AD96</f>
        <v>512149</v>
      </c>
      <c r="AM96" s="492">
        <f>J96+U96</f>
        <v>379933</v>
      </c>
      <c r="AN96" s="492">
        <f>Y96</f>
        <v>0</v>
      </c>
      <c r="AO96" s="492">
        <f t="shared" si="174"/>
        <v>128417</v>
      </c>
      <c r="AP96" s="492">
        <f t="shared" si="174"/>
        <v>3799</v>
      </c>
      <c r="AQ96" s="578">
        <f t="shared" si="174"/>
        <v>0</v>
      </c>
      <c r="AR96" s="626">
        <f>N96+AK96</f>
        <v>0.9</v>
      </c>
    </row>
    <row r="97" spans="1:44" ht="14.1" customHeight="1" x14ac:dyDescent="0.2">
      <c r="A97" s="499">
        <v>30</v>
      </c>
      <c r="B97" s="512">
        <v>2435</v>
      </c>
      <c r="C97" s="513">
        <v>600079341</v>
      </c>
      <c r="D97" s="512">
        <v>72743069</v>
      </c>
      <c r="E97" s="511" t="s">
        <v>576</v>
      </c>
      <c r="F97" s="499">
        <v>3111</v>
      </c>
      <c r="G97" s="39" t="s">
        <v>278</v>
      </c>
      <c r="H97" s="495" t="s">
        <v>263</v>
      </c>
      <c r="I97" s="627">
        <f t="shared" si="132"/>
        <v>0</v>
      </c>
      <c r="J97" s="490">
        <v>0</v>
      </c>
      <c r="K97" s="14">
        <v>0</v>
      </c>
      <c r="L97" s="14">
        <v>0</v>
      </c>
      <c r="M97" s="14">
        <v>0</v>
      </c>
      <c r="N97" s="682">
        <v>0</v>
      </c>
      <c r="O97" s="696">
        <f t="shared" si="133"/>
        <v>0</v>
      </c>
      <c r="P97" s="490">
        <v>396847</v>
      </c>
      <c r="Q97" s="492">
        <v>0</v>
      </c>
      <c r="R97" s="492">
        <v>0</v>
      </c>
      <c r="S97" s="492">
        <v>0</v>
      </c>
      <c r="T97" s="492">
        <v>0</v>
      </c>
      <c r="U97" s="492">
        <f>O97+P97+Q97+R97+S97+T97</f>
        <v>396847</v>
      </c>
      <c r="V97" s="492">
        <v>0</v>
      </c>
      <c r="W97" s="492">
        <v>0</v>
      </c>
      <c r="X97" s="492">
        <v>0</v>
      </c>
      <c r="Y97" s="492">
        <f t="shared" si="171"/>
        <v>0</v>
      </c>
      <c r="Z97" s="492">
        <f t="shared" si="172"/>
        <v>396847</v>
      </c>
      <c r="AA97" s="494">
        <f t="shared" si="173"/>
        <v>134134</v>
      </c>
      <c r="AB97" s="494">
        <f>ROUND(U97*1%,0)</f>
        <v>3968</v>
      </c>
      <c r="AC97" s="14">
        <v>0</v>
      </c>
      <c r="AD97" s="892">
        <f t="shared" si="134"/>
        <v>534949</v>
      </c>
      <c r="AE97" s="702">
        <v>0</v>
      </c>
      <c r="AF97" s="121">
        <v>1</v>
      </c>
      <c r="AG97" s="491">
        <v>0</v>
      </c>
      <c r="AH97" s="491">
        <v>0</v>
      </c>
      <c r="AI97" s="491">
        <v>0</v>
      </c>
      <c r="AJ97" s="491">
        <v>0</v>
      </c>
      <c r="AK97" s="626">
        <f>SUM(AE97:AJ97)</f>
        <v>1</v>
      </c>
      <c r="AL97" s="696">
        <f>I97+AD97</f>
        <v>534949</v>
      </c>
      <c r="AM97" s="492">
        <f>J97+U97</f>
        <v>396847</v>
      </c>
      <c r="AN97" s="492">
        <f>Y97</f>
        <v>0</v>
      </c>
      <c r="AO97" s="492">
        <f t="shared" si="174"/>
        <v>134134</v>
      </c>
      <c r="AP97" s="492">
        <f t="shared" si="174"/>
        <v>3968</v>
      </c>
      <c r="AQ97" s="578">
        <f t="shared" si="174"/>
        <v>0</v>
      </c>
      <c r="AR97" s="626">
        <f>N97+AK97</f>
        <v>1</v>
      </c>
    </row>
    <row r="98" spans="1:44" ht="14.1" customHeight="1" x14ac:dyDescent="0.2">
      <c r="A98" s="510">
        <v>30</v>
      </c>
      <c r="B98" s="508">
        <v>2435</v>
      </c>
      <c r="C98" s="509">
        <v>600079341</v>
      </c>
      <c r="D98" s="508">
        <v>72743069</v>
      </c>
      <c r="E98" s="506" t="s">
        <v>577</v>
      </c>
      <c r="F98" s="510"/>
      <c r="G98" s="506"/>
      <c r="H98" s="505"/>
      <c r="I98" s="629">
        <f t="shared" ref="I98:N98" si="175">SUM(I95:I97)</f>
        <v>7368896</v>
      </c>
      <c r="J98" s="504">
        <f t="shared" si="175"/>
        <v>5466540</v>
      </c>
      <c r="K98" s="504">
        <f t="shared" si="175"/>
        <v>1847691</v>
      </c>
      <c r="L98" s="504">
        <f t="shared" si="175"/>
        <v>54665</v>
      </c>
      <c r="M98" s="504">
        <f t="shared" si="175"/>
        <v>0</v>
      </c>
      <c r="N98" s="885">
        <f t="shared" si="175"/>
        <v>8.9731000000000005</v>
      </c>
      <c r="O98" s="629">
        <f t="shared" ref="O98:AR98" si="176">SUM(O95:O97)</f>
        <v>0</v>
      </c>
      <c r="P98" s="503">
        <f t="shared" si="176"/>
        <v>396847</v>
      </c>
      <c r="Q98" s="503">
        <f t="shared" si="176"/>
        <v>0</v>
      </c>
      <c r="R98" s="503">
        <f t="shared" si="176"/>
        <v>0</v>
      </c>
      <c r="S98" s="503">
        <f t="shared" si="176"/>
        <v>0</v>
      </c>
      <c r="T98" s="503">
        <f t="shared" si="176"/>
        <v>0</v>
      </c>
      <c r="U98" s="503">
        <f t="shared" si="176"/>
        <v>396847</v>
      </c>
      <c r="V98" s="503">
        <f t="shared" si="176"/>
        <v>0</v>
      </c>
      <c r="W98" s="503">
        <f t="shared" si="176"/>
        <v>0</v>
      </c>
      <c r="X98" s="503">
        <f t="shared" si="176"/>
        <v>0</v>
      </c>
      <c r="Y98" s="503">
        <f t="shared" si="176"/>
        <v>0</v>
      </c>
      <c r="Z98" s="503">
        <f t="shared" si="176"/>
        <v>396847</v>
      </c>
      <c r="AA98" s="503">
        <f t="shared" si="176"/>
        <v>134134</v>
      </c>
      <c r="AB98" s="503">
        <f t="shared" si="176"/>
        <v>3968</v>
      </c>
      <c r="AC98" s="503">
        <f t="shared" si="176"/>
        <v>0</v>
      </c>
      <c r="AD98" s="891">
        <f t="shared" si="176"/>
        <v>534949</v>
      </c>
      <c r="AE98" s="701">
        <f t="shared" si="176"/>
        <v>0</v>
      </c>
      <c r="AF98" s="701">
        <f t="shared" si="176"/>
        <v>1</v>
      </c>
      <c r="AG98" s="502">
        <f t="shared" si="176"/>
        <v>0</v>
      </c>
      <c r="AH98" s="502">
        <f t="shared" si="176"/>
        <v>0</v>
      </c>
      <c r="AI98" s="502">
        <f t="shared" si="176"/>
        <v>0</v>
      </c>
      <c r="AJ98" s="502">
        <f t="shared" si="176"/>
        <v>0</v>
      </c>
      <c r="AK98" s="630">
        <f t="shared" si="176"/>
        <v>1</v>
      </c>
      <c r="AL98" s="629">
        <f t="shared" si="176"/>
        <v>7903845</v>
      </c>
      <c r="AM98" s="503">
        <f t="shared" si="176"/>
        <v>5863387</v>
      </c>
      <c r="AN98" s="552">
        <f t="shared" si="176"/>
        <v>0</v>
      </c>
      <c r="AO98" s="503">
        <f t="shared" si="176"/>
        <v>1981825</v>
      </c>
      <c r="AP98" s="503">
        <f t="shared" si="176"/>
        <v>58633</v>
      </c>
      <c r="AQ98" s="503">
        <f t="shared" si="176"/>
        <v>0</v>
      </c>
      <c r="AR98" s="630">
        <f t="shared" si="176"/>
        <v>9.9731000000000005</v>
      </c>
    </row>
    <row r="99" spans="1:44" ht="14.1" customHeight="1" x14ac:dyDescent="0.2">
      <c r="A99" s="499">
        <v>31</v>
      </c>
      <c r="B99" s="512">
        <v>2474</v>
      </c>
      <c r="C99" s="513">
        <v>600080307</v>
      </c>
      <c r="D99" s="512">
        <v>65635612</v>
      </c>
      <c r="E99" s="511" t="s">
        <v>578</v>
      </c>
      <c r="F99" s="499">
        <v>3111</v>
      </c>
      <c r="G99" s="511" t="s">
        <v>277</v>
      </c>
      <c r="H99" s="495" t="s">
        <v>262</v>
      </c>
      <c r="I99" s="627">
        <f t="shared" si="132"/>
        <v>3536648</v>
      </c>
      <c r="J99" s="14">
        <v>2623626</v>
      </c>
      <c r="K99" s="14">
        <v>886786</v>
      </c>
      <c r="L99" s="14">
        <v>26236</v>
      </c>
      <c r="M99" s="14">
        <v>0</v>
      </c>
      <c r="N99" s="121">
        <v>4</v>
      </c>
      <c r="O99" s="696">
        <f t="shared" si="133"/>
        <v>-10000</v>
      </c>
      <c r="P99" s="492">
        <v>0</v>
      </c>
      <c r="Q99" s="492">
        <v>0</v>
      </c>
      <c r="R99" s="492">
        <v>0</v>
      </c>
      <c r="S99" s="492">
        <v>0</v>
      </c>
      <c r="T99" s="492">
        <v>0</v>
      </c>
      <c r="U99" s="492">
        <f>O99+P99+Q99+R99+S99+T99</f>
        <v>-10000</v>
      </c>
      <c r="V99" s="492">
        <v>10000</v>
      </c>
      <c r="W99" s="492">
        <v>0</v>
      </c>
      <c r="X99" s="492">
        <v>0</v>
      </c>
      <c r="Y99" s="492">
        <f t="shared" ref="Y99:Y103" si="177">V99+W99+X99</f>
        <v>10000</v>
      </c>
      <c r="Z99" s="492">
        <f t="shared" ref="Z99:Z103" si="178">U99+Y99</f>
        <v>0</v>
      </c>
      <c r="AA99" s="494">
        <f t="shared" ref="AA99:AA103" si="179">ROUND((U99+Y99)*33.8%,0)</f>
        <v>0</v>
      </c>
      <c r="AB99" s="494">
        <f t="shared" ref="AB99:AB103" si="180">ROUND(U99*1%,0)</f>
        <v>-100</v>
      </c>
      <c r="AC99" s="14">
        <v>0</v>
      </c>
      <c r="AD99" s="892">
        <f t="shared" si="134"/>
        <v>-100</v>
      </c>
      <c r="AE99" s="702">
        <v>0</v>
      </c>
      <c r="AF99" s="702">
        <v>0</v>
      </c>
      <c r="AG99" s="491">
        <v>0</v>
      </c>
      <c r="AH99" s="491">
        <v>0</v>
      </c>
      <c r="AI99" s="491">
        <v>0</v>
      </c>
      <c r="AJ99" s="491">
        <v>0</v>
      </c>
      <c r="AK99" s="626">
        <f>SUM(AE99:AJ99)</f>
        <v>0</v>
      </c>
      <c r="AL99" s="696">
        <f>I99+AD99</f>
        <v>3536548</v>
      </c>
      <c r="AM99" s="492">
        <f>J99+U99</f>
        <v>2613626</v>
      </c>
      <c r="AN99" s="492">
        <f>Y99</f>
        <v>10000</v>
      </c>
      <c r="AO99" s="492">
        <f t="shared" ref="AO99:AQ103" si="181">K99+AA99</f>
        <v>886786</v>
      </c>
      <c r="AP99" s="492">
        <f t="shared" si="181"/>
        <v>26136</v>
      </c>
      <c r="AQ99" s="578">
        <f t="shared" si="181"/>
        <v>0</v>
      </c>
      <c r="AR99" s="626">
        <f>N99+AK99</f>
        <v>4</v>
      </c>
    </row>
    <row r="100" spans="1:44" ht="14.1" customHeight="1" x14ac:dyDescent="0.2">
      <c r="A100" s="499">
        <v>31</v>
      </c>
      <c r="B100" s="512">
        <v>2474</v>
      </c>
      <c r="C100" s="513">
        <v>600080307</v>
      </c>
      <c r="D100" s="512">
        <v>65635612</v>
      </c>
      <c r="E100" s="511" t="s">
        <v>578</v>
      </c>
      <c r="F100" s="499">
        <v>3113</v>
      </c>
      <c r="G100" s="511" t="s">
        <v>280</v>
      </c>
      <c r="H100" s="495" t="s">
        <v>262</v>
      </c>
      <c r="I100" s="627">
        <f t="shared" si="132"/>
        <v>27465956</v>
      </c>
      <c r="J100" s="14">
        <v>20375338</v>
      </c>
      <c r="K100" s="14">
        <v>6886864</v>
      </c>
      <c r="L100" s="14">
        <v>203754</v>
      </c>
      <c r="M100" s="14">
        <v>0</v>
      </c>
      <c r="N100" s="121">
        <v>27.3172</v>
      </c>
      <c r="O100" s="696">
        <f t="shared" si="133"/>
        <v>-40000</v>
      </c>
      <c r="P100" s="492">
        <v>0</v>
      </c>
      <c r="Q100" s="492">
        <v>141780</v>
      </c>
      <c r="R100" s="492">
        <v>0</v>
      </c>
      <c r="S100" s="492">
        <v>0</v>
      </c>
      <c r="T100" s="492">
        <v>0</v>
      </c>
      <c r="U100" s="492">
        <f>O100+P100+Q100+R100+S100+T100</f>
        <v>101780</v>
      </c>
      <c r="V100" s="492">
        <v>40000</v>
      </c>
      <c r="W100" s="492">
        <v>0</v>
      </c>
      <c r="X100" s="492">
        <v>0</v>
      </c>
      <c r="Y100" s="492">
        <f t="shared" si="177"/>
        <v>40000</v>
      </c>
      <c r="Z100" s="492">
        <f t="shared" si="178"/>
        <v>141780</v>
      </c>
      <c r="AA100" s="494">
        <f t="shared" si="179"/>
        <v>47922</v>
      </c>
      <c r="AB100" s="494">
        <f t="shared" si="180"/>
        <v>1018</v>
      </c>
      <c r="AC100" s="14">
        <v>0</v>
      </c>
      <c r="AD100" s="892">
        <f t="shared" si="134"/>
        <v>190720</v>
      </c>
      <c r="AE100" s="702">
        <v>-0.03</v>
      </c>
      <c r="AF100" s="702">
        <v>0</v>
      </c>
      <c r="AG100" s="491">
        <v>0</v>
      </c>
      <c r="AH100" s="491">
        <v>0.21</v>
      </c>
      <c r="AI100" s="491">
        <v>0</v>
      </c>
      <c r="AJ100" s="491">
        <v>0</v>
      </c>
      <c r="AK100" s="626">
        <f>SUM(AE100:AJ100)</f>
        <v>0.18</v>
      </c>
      <c r="AL100" s="696">
        <f>I100+AD100</f>
        <v>27656676</v>
      </c>
      <c r="AM100" s="492">
        <f>J100+U100</f>
        <v>20477118</v>
      </c>
      <c r="AN100" s="492">
        <f>Y100</f>
        <v>40000</v>
      </c>
      <c r="AO100" s="492">
        <f t="shared" si="181"/>
        <v>6934786</v>
      </c>
      <c r="AP100" s="492">
        <f t="shared" si="181"/>
        <v>204772</v>
      </c>
      <c r="AQ100" s="578">
        <f t="shared" si="181"/>
        <v>0</v>
      </c>
      <c r="AR100" s="626">
        <f>N100+AK100</f>
        <v>27.497199999999999</v>
      </c>
    </row>
    <row r="101" spans="1:44" ht="14.1" customHeight="1" x14ac:dyDescent="0.2">
      <c r="A101" s="499">
        <v>31</v>
      </c>
      <c r="B101" s="512">
        <v>2474</v>
      </c>
      <c r="C101" s="513">
        <v>600080307</v>
      </c>
      <c r="D101" s="512">
        <v>65635612</v>
      </c>
      <c r="E101" s="511" t="s">
        <v>578</v>
      </c>
      <c r="F101" s="499">
        <v>3113</v>
      </c>
      <c r="G101" s="511" t="s">
        <v>799</v>
      </c>
      <c r="H101" s="495" t="s">
        <v>262</v>
      </c>
      <c r="I101" s="627">
        <f t="shared" si="132"/>
        <v>719330</v>
      </c>
      <c r="J101" s="14">
        <v>533628</v>
      </c>
      <c r="K101" s="14">
        <v>180366</v>
      </c>
      <c r="L101" s="14">
        <v>5336</v>
      </c>
      <c r="M101" s="14">
        <v>0</v>
      </c>
      <c r="N101" s="121">
        <v>1</v>
      </c>
      <c r="O101" s="696">
        <f t="shared" si="133"/>
        <v>0</v>
      </c>
      <c r="P101" s="492">
        <v>0</v>
      </c>
      <c r="Q101" s="492">
        <v>0</v>
      </c>
      <c r="R101" s="492">
        <v>0</v>
      </c>
      <c r="S101" s="492">
        <v>0</v>
      </c>
      <c r="T101" s="492">
        <v>0</v>
      </c>
      <c r="U101" s="492">
        <f>O101+P101+Q101+R101+S101+T101</f>
        <v>0</v>
      </c>
      <c r="V101" s="492">
        <v>0</v>
      </c>
      <c r="W101" s="492">
        <v>0</v>
      </c>
      <c r="X101" s="492">
        <v>0</v>
      </c>
      <c r="Y101" s="492">
        <f t="shared" ref="Y101" si="182">V101+W101+X101</f>
        <v>0</v>
      </c>
      <c r="Z101" s="492">
        <f t="shared" ref="Z101" si="183">U101+Y101</f>
        <v>0</v>
      </c>
      <c r="AA101" s="494">
        <f t="shared" ref="AA101" si="184">ROUND((U101+Y101)*33.8%,0)</f>
        <v>0</v>
      </c>
      <c r="AB101" s="494">
        <f t="shared" ref="AB101" si="185">ROUND(U101*1%,0)</f>
        <v>0</v>
      </c>
      <c r="AC101" s="14">
        <v>0</v>
      </c>
      <c r="AD101" s="892">
        <f t="shared" si="134"/>
        <v>0</v>
      </c>
      <c r="AE101" s="702">
        <v>0</v>
      </c>
      <c r="AF101" s="702">
        <v>0</v>
      </c>
      <c r="AG101" s="491">
        <v>0</v>
      </c>
      <c r="AH101" s="491">
        <v>0</v>
      </c>
      <c r="AI101" s="491">
        <v>0</v>
      </c>
      <c r="AJ101" s="491">
        <v>0</v>
      </c>
      <c r="AK101" s="626">
        <f>SUM(AE101:AJ101)</f>
        <v>0</v>
      </c>
      <c r="AL101" s="696">
        <f>I101+AD101</f>
        <v>719330</v>
      </c>
      <c r="AM101" s="492">
        <f>J101+U101</f>
        <v>533628</v>
      </c>
      <c r="AN101" s="492">
        <f>Y101</f>
        <v>0</v>
      </c>
      <c r="AO101" s="492">
        <f t="shared" si="181"/>
        <v>180366</v>
      </c>
      <c r="AP101" s="492">
        <f t="shared" si="181"/>
        <v>5336</v>
      </c>
      <c r="AQ101" s="578">
        <f t="shared" si="181"/>
        <v>0</v>
      </c>
      <c r="AR101" s="626">
        <f>N101+AK101</f>
        <v>1</v>
      </c>
    </row>
    <row r="102" spans="1:44" ht="14.1" customHeight="1" x14ac:dyDescent="0.2">
      <c r="A102" s="499">
        <v>31</v>
      </c>
      <c r="B102" s="512">
        <v>2474</v>
      </c>
      <c r="C102" s="513">
        <v>600080307</v>
      </c>
      <c r="D102" s="512">
        <v>65635612</v>
      </c>
      <c r="E102" s="511" t="s">
        <v>578</v>
      </c>
      <c r="F102" s="499">
        <v>3113</v>
      </c>
      <c r="G102" s="514" t="s">
        <v>278</v>
      </c>
      <c r="H102" s="495" t="s">
        <v>263</v>
      </c>
      <c r="I102" s="627">
        <f t="shared" si="132"/>
        <v>0</v>
      </c>
      <c r="J102" s="490">
        <v>0</v>
      </c>
      <c r="K102" s="14">
        <v>0</v>
      </c>
      <c r="L102" s="14">
        <v>0</v>
      </c>
      <c r="M102" s="14">
        <v>0</v>
      </c>
      <c r="N102" s="682">
        <v>0</v>
      </c>
      <c r="O102" s="696">
        <f t="shared" si="133"/>
        <v>0</v>
      </c>
      <c r="P102" s="490">
        <f>2359060+323361</f>
        <v>2682421</v>
      </c>
      <c r="Q102" s="492">
        <v>0</v>
      </c>
      <c r="R102" s="492">
        <v>0</v>
      </c>
      <c r="S102" s="492">
        <v>0</v>
      </c>
      <c r="T102" s="492">
        <v>0</v>
      </c>
      <c r="U102" s="492">
        <f>O102+P102+Q102+R102+S102+T102</f>
        <v>2682421</v>
      </c>
      <c r="V102" s="492">
        <v>0</v>
      </c>
      <c r="W102" s="492">
        <v>0</v>
      </c>
      <c r="X102" s="492">
        <v>0</v>
      </c>
      <c r="Y102" s="492">
        <f t="shared" si="177"/>
        <v>0</v>
      </c>
      <c r="Z102" s="492">
        <f t="shared" si="178"/>
        <v>2682421</v>
      </c>
      <c r="AA102" s="494">
        <f t="shared" si="179"/>
        <v>906658</v>
      </c>
      <c r="AB102" s="494">
        <f t="shared" si="180"/>
        <v>26824</v>
      </c>
      <c r="AC102" s="14">
        <v>0</v>
      </c>
      <c r="AD102" s="892">
        <f t="shared" si="134"/>
        <v>3615903</v>
      </c>
      <c r="AE102" s="702">
        <v>0</v>
      </c>
      <c r="AF102" s="121">
        <f>5.95+0.82</f>
        <v>6.7700000000000005</v>
      </c>
      <c r="AG102" s="491">
        <v>0</v>
      </c>
      <c r="AH102" s="491">
        <v>0</v>
      </c>
      <c r="AI102" s="491">
        <v>0</v>
      </c>
      <c r="AJ102" s="491">
        <v>0</v>
      </c>
      <c r="AK102" s="626">
        <f>SUM(AE102:AJ102)</f>
        <v>6.7700000000000005</v>
      </c>
      <c r="AL102" s="696">
        <f>I102+AD102</f>
        <v>3615903</v>
      </c>
      <c r="AM102" s="492">
        <f>J102+U102</f>
        <v>2682421</v>
      </c>
      <c r="AN102" s="492">
        <f>Y102</f>
        <v>0</v>
      </c>
      <c r="AO102" s="492">
        <f t="shared" si="181"/>
        <v>906658</v>
      </c>
      <c r="AP102" s="492">
        <f t="shared" si="181"/>
        <v>26824</v>
      </c>
      <c r="AQ102" s="578">
        <f t="shared" si="181"/>
        <v>0</v>
      </c>
      <c r="AR102" s="626">
        <f>N102+AK102</f>
        <v>6.7700000000000005</v>
      </c>
    </row>
    <row r="103" spans="1:44" ht="14.1" customHeight="1" x14ac:dyDescent="0.2">
      <c r="A103" s="499">
        <v>31</v>
      </c>
      <c r="B103" s="512">
        <v>2474</v>
      </c>
      <c r="C103" s="513">
        <v>600080307</v>
      </c>
      <c r="D103" s="512">
        <v>65635612</v>
      </c>
      <c r="E103" s="511" t="s">
        <v>578</v>
      </c>
      <c r="F103" s="499">
        <v>3143</v>
      </c>
      <c r="G103" s="514" t="s">
        <v>794</v>
      </c>
      <c r="H103" s="495" t="s">
        <v>262</v>
      </c>
      <c r="I103" s="627">
        <f t="shared" si="132"/>
        <v>2183531</v>
      </c>
      <c r="J103" s="14">
        <v>1619830</v>
      </c>
      <c r="K103" s="14">
        <v>547503</v>
      </c>
      <c r="L103" s="14">
        <v>16198</v>
      </c>
      <c r="M103" s="14">
        <v>0</v>
      </c>
      <c r="N103" s="121">
        <v>3.036</v>
      </c>
      <c r="O103" s="696">
        <f t="shared" si="133"/>
        <v>0</v>
      </c>
      <c r="P103" s="492">
        <v>0</v>
      </c>
      <c r="Q103" s="492">
        <v>0</v>
      </c>
      <c r="R103" s="492">
        <v>0</v>
      </c>
      <c r="S103" s="492">
        <v>0</v>
      </c>
      <c r="T103" s="492">
        <v>0</v>
      </c>
      <c r="U103" s="492">
        <f>O103+P103+Q103+R103+S103+T103</f>
        <v>0</v>
      </c>
      <c r="V103" s="492">
        <v>0</v>
      </c>
      <c r="W103" s="492">
        <v>0</v>
      </c>
      <c r="X103" s="492">
        <v>0</v>
      </c>
      <c r="Y103" s="492">
        <f t="shared" si="177"/>
        <v>0</v>
      </c>
      <c r="Z103" s="492">
        <f t="shared" si="178"/>
        <v>0</v>
      </c>
      <c r="AA103" s="494">
        <f t="shared" si="179"/>
        <v>0</v>
      </c>
      <c r="AB103" s="494">
        <f t="shared" si="180"/>
        <v>0</v>
      </c>
      <c r="AC103" s="14">
        <v>0</v>
      </c>
      <c r="AD103" s="892">
        <f t="shared" si="134"/>
        <v>0</v>
      </c>
      <c r="AE103" s="702">
        <v>0</v>
      </c>
      <c r="AF103" s="702">
        <v>0</v>
      </c>
      <c r="AG103" s="491">
        <v>0</v>
      </c>
      <c r="AH103" s="491">
        <v>0</v>
      </c>
      <c r="AI103" s="491">
        <v>0</v>
      </c>
      <c r="AJ103" s="491">
        <v>0</v>
      </c>
      <c r="AK103" s="626">
        <f>SUM(AE103:AJ103)</f>
        <v>0</v>
      </c>
      <c r="AL103" s="696">
        <f>I103+AD103</f>
        <v>2183531</v>
      </c>
      <c r="AM103" s="492">
        <f>J103+U103</f>
        <v>1619830</v>
      </c>
      <c r="AN103" s="492">
        <f>Y103</f>
        <v>0</v>
      </c>
      <c r="AO103" s="492">
        <f t="shared" si="181"/>
        <v>547503</v>
      </c>
      <c r="AP103" s="492">
        <f t="shared" si="181"/>
        <v>16198</v>
      </c>
      <c r="AQ103" s="578">
        <f t="shared" si="181"/>
        <v>0</v>
      </c>
      <c r="AR103" s="626">
        <f>N103+AK103</f>
        <v>3.036</v>
      </c>
    </row>
    <row r="104" spans="1:44" ht="14.1" customHeight="1" x14ac:dyDescent="0.2">
      <c r="A104" s="510">
        <v>31</v>
      </c>
      <c r="B104" s="508">
        <v>2474</v>
      </c>
      <c r="C104" s="509">
        <v>600080307</v>
      </c>
      <c r="D104" s="508">
        <v>65635612</v>
      </c>
      <c r="E104" s="506" t="s">
        <v>579</v>
      </c>
      <c r="F104" s="510"/>
      <c r="G104" s="506"/>
      <c r="H104" s="505"/>
      <c r="I104" s="629">
        <f t="shared" ref="I104:AR104" si="186">SUM(I99:I103)</f>
        <v>33905465</v>
      </c>
      <c r="J104" s="504">
        <f t="shared" si="186"/>
        <v>25152422</v>
      </c>
      <c r="K104" s="504">
        <f t="shared" si="186"/>
        <v>8501519</v>
      </c>
      <c r="L104" s="504">
        <f t="shared" si="186"/>
        <v>251524</v>
      </c>
      <c r="M104" s="504">
        <f t="shared" si="186"/>
        <v>0</v>
      </c>
      <c r="N104" s="885">
        <f t="shared" si="186"/>
        <v>35.353200000000001</v>
      </c>
      <c r="O104" s="629">
        <f t="shared" si="186"/>
        <v>-50000</v>
      </c>
      <c r="P104" s="503">
        <f t="shared" si="186"/>
        <v>2682421</v>
      </c>
      <c r="Q104" s="503">
        <f t="shared" si="186"/>
        <v>141780</v>
      </c>
      <c r="R104" s="503">
        <f t="shared" si="186"/>
        <v>0</v>
      </c>
      <c r="S104" s="503">
        <f t="shared" si="186"/>
        <v>0</v>
      </c>
      <c r="T104" s="503">
        <f t="shared" si="186"/>
        <v>0</v>
      </c>
      <c r="U104" s="503">
        <f t="shared" si="186"/>
        <v>2774201</v>
      </c>
      <c r="V104" s="503">
        <f t="shared" si="186"/>
        <v>50000</v>
      </c>
      <c r="W104" s="503">
        <f t="shared" si="186"/>
        <v>0</v>
      </c>
      <c r="X104" s="503">
        <f t="shared" si="186"/>
        <v>0</v>
      </c>
      <c r="Y104" s="503">
        <f t="shared" si="186"/>
        <v>50000</v>
      </c>
      <c r="Z104" s="503">
        <f t="shared" si="186"/>
        <v>2824201</v>
      </c>
      <c r="AA104" s="503">
        <f t="shared" si="186"/>
        <v>954580</v>
      </c>
      <c r="AB104" s="503">
        <f t="shared" si="186"/>
        <v>27742</v>
      </c>
      <c r="AC104" s="503">
        <f t="shared" si="186"/>
        <v>0</v>
      </c>
      <c r="AD104" s="891">
        <f t="shared" si="186"/>
        <v>3806523</v>
      </c>
      <c r="AE104" s="701">
        <f t="shared" si="186"/>
        <v>-0.03</v>
      </c>
      <c r="AF104" s="701">
        <f t="shared" si="186"/>
        <v>6.7700000000000005</v>
      </c>
      <c r="AG104" s="502">
        <f t="shared" si="186"/>
        <v>0</v>
      </c>
      <c r="AH104" s="502">
        <f t="shared" si="186"/>
        <v>0.21</v>
      </c>
      <c r="AI104" s="502">
        <f t="shared" si="186"/>
        <v>0</v>
      </c>
      <c r="AJ104" s="502">
        <f t="shared" si="186"/>
        <v>0</v>
      </c>
      <c r="AK104" s="630">
        <f t="shared" si="186"/>
        <v>6.95</v>
      </c>
      <c r="AL104" s="629">
        <f t="shared" si="186"/>
        <v>37711988</v>
      </c>
      <c r="AM104" s="503">
        <f t="shared" si="186"/>
        <v>27926623</v>
      </c>
      <c r="AN104" s="552">
        <f t="shared" si="186"/>
        <v>50000</v>
      </c>
      <c r="AO104" s="503">
        <f t="shared" si="186"/>
        <v>9456099</v>
      </c>
      <c r="AP104" s="503">
        <f t="shared" si="186"/>
        <v>279266</v>
      </c>
      <c r="AQ104" s="503">
        <f t="shared" si="186"/>
        <v>0</v>
      </c>
      <c r="AR104" s="630">
        <f t="shared" si="186"/>
        <v>42.303200000000004</v>
      </c>
    </row>
    <row r="105" spans="1:44" ht="14.1" customHeight="1" x14ac:dyDescent="0.2">
      <c r="A105" s="499">
        <v>32</v>
      </c>
      <c r="B105" s="512">
        <v>2312</v>
      </c>
      <c r="C105" s="513">
        <v>600079899</v>
      </c>
      <c r="D105" s="512">
        <v>65642350</v>
      </c>
      <c r="E105" s="511" t="s">
        <v>580</v>
      </c>
      <c r="F105" s="499">
        <v>3113</v>
      </c>
      <c r="G105" s="511" t="s">
        <v>280</v>
      </c>
      <c r="H105" s="495" t="s">
        <v>262</v>
      </c>
      <c r="I105" s="627">
        <f t="shared" si="132"/>
        <v>31121752</v>
      </c>
      <c r="J105" s="14">
        <v>23087353</v>
      </c>
      <c r="K105" s="14">
        <v>7803526</v>
      </c>
      <c r="L105" s="14">
        <v>230873</v>
      </c>
      <c r="M105" s="14">
        <v>0</v>
      </c>
      <c r="N105" s="121">
        <v>31.181699999999999</v>
      </c>
      <c r="O105" s="696">
        <f t="shared" si="133"/>
        <v>-140000</v>
      </c>
      <c r="P105" s="492">
        <v>0</v>
      </c>
      <c r="Q105" s="492">
        <v>0</v>
      </c>
      <c r="R105" s="492">
        <v>0</v>
      </c>
      <c r="S105" s="492">
        <v>0</v>
      </c>
      <c r="T105" s="492">
        <v>0</v>
      </c>
      <c r="U105" s="492">
        <f>O105+P105+Q105+R105+S105+T105</f>
        <v>-140000</v>
      </c>
      <c r="V105" s="492">
        <v>140000</v>
      </c>
      <c r="W105" s="492">
        <v>0</v>
      </c>
      <c r="X105" s="492">
        <v>0</v>
      </c>
      <c r="Y105" s="492">
        <f t="shared" ref="Y105:Y109" si="187">V105+W105+X105</f>
        <v>140000</v>
      </c>
      <c r="Z105" s="492">
        <f t="shared" ref="Z105:Z109" si="188">U105+Y105</f>
        <v>0</v>
      </c>
      <c r="AA105" s="494">
        <f t="shared" ref="AA105:AA109" si="189">ROUND((U105+Y105)*33.8%,0)</f>
        <v>0</v>
      </c>
      <c r="AB105" s="494">
        <f t="shared" ref="AB105:AB109" si="190">ROUND(U105*1%,0)</f>
        <v>-1400</v>
      </c>
      <c r="AC105" s="14">
        <v>0</v>
      </c>
      <c r="AD105" s="892">
        <f t="shared" si="134"/>
        <v>-1400</v>
      </c>
      <c r="AE105" s="702">
        <v>-0.15</v>
      </c>
      <c r="AF105" s="702">
        <v>0</v>
      </c>
      <c r="AG105" s="491">
        <v>0</v>
      </c>
      <c r="AH105" s="491">
        <v>0</v>
      </c>
      <c r="AI105" s="491">
        <v>0</v>
      </c>
      <c r="AJ105" s="491">
        <v>0</v>
      </c>
      <c r="AK105" s="626">
        <f>SUM(AE105:AJ105)</f>
        <v>-0.15</v>
      </c>
      <c r="AL105" s="696">
        <f>I105+AD105</f>
        <v>31120352</v>
      </c>
      <c r="AM105" s="492">
        <f>J105+U105</f>
        <v>22947353</v>
      </c>
      <c r="AN105" s="492">
        <f>Y105</f>
        <v>140000</v>
      </c>
      <c r="AO105" s="492">
        <f t="shared" ref="AO105:AQ109" si="191">K105+AA105</f>
        <v>7803526</v>
      </c>
      <c r="AP105" s="492">
        <f t="shared" si="191"/>
        <v>229473</v>
      </c>
      <c r="AQ105" s="578">
        <f t="shared" si="191"/>
        <v>0</v>
      </c>
      <c r="AR105" s="626">
        <f>N105+AK105</f>
        <v>31.031700000000001</v>
      </c>
    </row>
    <row r="106" spans="1:44" ht="14.1" customHeight="1" x14ac:dyDescent="0.2">
      <c r="A106" s="499">
        <v>32</v>
      </c>
      <c r="B106" s="512">
        <v>2312</v>
      </c>
      <c r="C106" s="513">
        <v>600079899</v>
      </c>
      <c r="D106" s="512">
        <v>65642350</v>
      </c>
      <c r="E106" s="511" t="s">
        <v>580</v>
      </c>
      <c r="F106" s="499">
        <v>3113</v>
      </c>
      <c r="G106" s="511" t="s">
        <v>799</v>
      </c>
      <c r="H106" s="495" t="s">
        <v>262</v>
      </c>
      <c r="I106" s="627">
        <f t="shared" si="132"/>
        <v>820754</v>
      </c>
      <c r="J106" s="14">
        <v>608868</v>
      </c>
      <c r="K106" s="14">
        <v>205797</v>
      </c>
      <c r="L106" s="14">
        <v>6089</v>
      </c>
      <c r="M106" s="14">
        <v>0</v>
      </c>
      <c r="N106" s="121">
        <v>1</v>
      </c>
      <c r="O106" s="696">
        <f t="shared" si="133"/>
        <v>0</v>
      </c>
      <c r="P106" s="492">
        <v>0</v>
      </c>
      <c r="Q106" s="492">
        <v>0</v>
      </c>
      <c r="R106" s="492">
        <v>0</v>
      </c>
      <c r="S106" s="492">
        <v>0</v>
      </c>
      <c r="T106" s="492">
        <v>0</v>
      </c>
      <c r="U106" s="492">
        <f>O106+P106+Q106+R106+S106+T106</f>
        <v>0</v>
      </c>
      <c r="V106" s="492">
        <v>0</v>
      </c>
      <c r="W106" s="492">
        <v>0</v>
      </c>
      <c r="X106" s="492">
        <v>0</v>
      </c>
      <c r="Y106" s="492">
        <f t="shared" ref="Y106" si="192">V106+W106+X106</f>
        <v>0</v>
      </c>
      <c r="Z106" s="492">
        <f t="shared" ref="Z106" si="193">U106+Y106</f>
        <v>0</v>
      </c>
      <c r="AA106" s="494">
        <f t="shared" ref="AA106" si="194">ROUND((U106+Y106)*33.8%,0)</f>
        <v>0</v>
      </c>
      <c r="AB106" s="494">
        <f t="shared" ref="AB106" si="195">ROUND(U106*1%,0)</f>
        <v>0</v>
      </c>
      <c r="AC106" s="14">
        <v>0</v>
      </c>
      <c r="AD106" s="892">
        <f t="shared" si="134"/>
        <v>0</v>
      </c>
      <c r="AE106" s="702">
        <v>0</v>
      </c>
      <c r="AF106" s="702">
        <v>0</v>
      </c>
      <c r="AG106" s="491">
        <v>0</v>
      </c>
      <c r="AH106" s="491">
        <v>0</v>
      </c>
      <c r="AI106" s="491">
        <v>0</v>
      </c>
      <c r="AJ106" s="491">
        <v>0</v>
      </c>
      <c r="AK106" s="626">
        <f>SUM(AE106:AJ106)</f>
        <v>0</v>
      </c>
      <c r="AL106" s="696">
        <f>I106+AD106</f>
        <v>820754</v>
      </c>
      <c r="AM106" s="492">
        <f>J106+U106</f>
        <v>608868</v>
      </c>
      <c r="AN106" s="492">
        <f>Y106</f>
        <v>0</v>
      </c>
      <c r="AO106" s="492">
        <f t="shared" si="191"/>
        <v>205797</v>
      </c>
      <c r="AP106" s="492">
        <f t="shared" si="191"/>
        <v>6089</v>
      </c>
      <c r="AQ106" s="578">
        <f t="shared" si="191"/>
        <v>0</v>
      </c>
      <c r="AR106" s="626">
        <f>N106+AK106</f>
        <v>1</v>
      </c>
    </row>
    <row r="107" spans="1:44" ht="14.1" customHeight="1" x14ac:dyDescent="0.2">
      <c r="A107" s="499">
        <v>32</v>
      </c>
      <c r="B107" s="512">
        <v>2312</v>
      </c>
      <c r="C107" s="513">
        <v>600079899</v>
      </c>
      <c r="D107" s="512">
        <v>65642350</v>
      </c>
      <c r="E107" s="511" t="s">
        <v>580</v>
      </c>
      <c r="F107" s="499">
        <v>3113</v>
      </c>
      <c r="G107" s="514" t="s">
        <v>278</v>
      </c>
      <c r="H107" s="495" t="s">
        <v>263</v>
      </c>
      <c r="I107" s="627">
        <f t="shared" si="132"/>
        <v>0</v>
      </c>
      <c r="J107" s="490">
        <v>0</v>
      </c>
      <c r="K107" s="14">
        <v>0</v>
      </c>
      <c r="L107" s="14">
        <v>0</v>
      </c>
      <c r="M107" s="14">
        <v>0</v>
      </c>
      <c r="N107" s="682">
        <v>0</v>
      </c>
      <c r="O107" s="696">
        <f t="shared" si="133"/>
        <v>0</v>
      </c>
      <c r="P107" s="490">
        <v>2463203</v>
      </c>
      <c r="Q107" s="492">
        <v>0</v>
      </c>
      <c r="R107" s="492">
        <v>0</v>
      </c>
      <c r="S107" s="492">
        <v>0</v>
      </c>
      <c r="T107" s="492">
        <v>0</v>
      </c>
      <c r="U107" s="492">
        <f>O107+P107+Q107+R107+S107+T107</f>
        <v>2463203</v>
      </c>
      <c r="V107" s="492">
        <v>0</v>
      </c>
      <c r="W107" s="492">
        <v>0</v>
      </c>
      <c r="X107" s="492">
        <v>0</v>
      </c>
      <c r="Y107" s="492">
        <f t="shared" si="187"/>
        <v>0</v>
      </c>
      <c r="Z107" s="492">
        <f t="shared" si="188"/>
        <v>2463203</v>
      </c>
      <c r="AA107" s="494">
        <f t="shared" si="189"/>
        <v>832563</v>
      </c>
      <c r="AB107" s="494">
        <f t="shared" si="190"/>
        <v>24632</v>
      </c>
      <c r="AC107" s="14">
        <v>0</v>
      </c>
      <c r="AD107" s="892">
        <f t="shared" si="134"/>
        <v>3320398</v>
      </c>
      <c r="AE107" s="702">
        <v>0</v>
      </c>
      <c r="AF107" s="121">
        <v>5.94</v>
      </c>
      <c r="AG107" s="491">
        <v>0</v>
      </c>
      <c r="AH107" s="491">
        <v>0</v>
      </c>
      <c r="AI107" s="491">
        <v>0</v>
      </c>
      <c r="AJ107" s="491">
        <v>0</v>
      </c>
      <c r="AK107" s="626">
        <f>SUM(AE107:AJ107)</f>
        <v>5.94</v>
      </c>
      <c r="AL107" s="696">
        <f>I107+AD107</f>
        <v>3320398</v>
      </c>
      <c r="AM107" s="492">
        <f>J107+U107</f>
        <v>2463203</v>
      </c>
      <c r="AN107" s="492">
        <f>Y107</f>
        <v>0</v>
      </c>
      <c r="AO107" s="492">
        <f t="shared" si="191"/>
        <v>832563</v>
      </c>
      <c r="AP107" s="492">
        <f t="shared" si="191"/>
        <v>24632</v>
      </c>
      <c r="AQ107" s="578">
        <f t="shared" si="191"/>
        <v>0</v>
      </c>
      <c r="AR107" s="626">
        <f>N107+AK107</f>
        <v>5.94</v>
      </c>
    </row>
    <row r="108" spans="1:44" ht="14.1" customHeight="1" x14ac:dyDescent="0.2">
      <c r="A108" s="499">
        <v>32</v>
      </c>
      <c r="B108" s="512">
        <v>2312</v>
      </c>
      <c r="C108" s="513">
        <v>600079899</v>
      </c>
      <c r="D108" s="512">
        <v>65642350</v>
      </c>
      <c r="E108" s="511" t="s">
        <v>580</v>
      </c>
      <c r="F108" s="499">
        <v>3143</v>
      </c>
      <c r="G108" s="514" t="s">
        <v>795</v>
      </c>
      <c r="H108" s="495" t="s">
        <v>262</v>
      </c>
      <c r="I108" s="627">
        <f t="shared" si="132"/>
        <v>4013403</v>
      </c>
      <c r="J108" s="14">
        <v>2977302</v>
      </c>
      <c r="K108" s="14">
        <v>1006328</v>
      </c>
      <c r="L108" s="14">
        <v>29773</v>
      </c>
      <c r="M108" s="14">
        <v>0</v>
      </c>
      <c r="N108" s="121">
        <v>5.5</v>
      </c>
      <c r="O108" s="696">
        <f t="shared" si="133"/>
        <v>0</v>
      </c>
      <c r="P108" s="492">
        <v>0</v>
      </c>
      <c r="Q108" s="492">
        <v>0</v>
      </c>
      <c r="R108" s="492">
        <v>0</v>
      </c>
      <c r="S108" s="492">
        <v>0</v>
      </c>
      <c r="T108" s="492">
        <v>0</v>
      </c>
      <c r="U108" s="492">
        <f>O108+P108+Q108+R108+S108+T108</f>
        <v>0</v>
      </c>
      <c r="V108" s="492">
        <v>0</v>
      </c>
      <c r="W108" s="492">
        <v>0</v>
      </c>
      <c r="X108" s="492">
        <v>0</v>
      </c>
      <c r="Y108" s="492">
        <f t="shared" si="187"/>
        <v>0</v>
      </c>
      <c r="Z108" s="492">
        <f t="shared" si="188"/>
        <v>0</v>
      </c>
      <c r="AA108" s="494">
        <f t="shared" si="189"/>
        <v>0</v>
      </c>
      <c r="AB108" s="494">
        <f t="shared" si="190"/>
        <v>0</v>
      </c>
      <c r="AC108" s="14">
        <v>0</v>
      </c>
      <c r="AD108" s="892">
        <f t="shared" si="134"/>
        <v>0</v>
      </c>
      <c r="AE108" s="702">
        <v>0</v>
      </c>
      <c r="AF108" s="702">
        <v>0</v>
      </c>
      <c r="AG108" s="491">
        <v>0</v>
      </c>
      <c r="AH108" s="491">
        <v>0</v>
      </c>
      <c r="AI108" s="491">
        <v>0</v>
      </c>
      <c r="AJ108" s="491">
        <v>0</v>
      </c>
      <c r="AK108" s="626">
        <f>SUM(AE108:AJ108)</f>
        <v>0</v>
      </c>
      <c r="AL108" s="696">
        <f>I108+AD108</f>
        <v>4013403</v>
      </c>
      <c r="AM108" s="492">
        <f>J108+U108</f>
        <v>2977302</v>
      </c>
      <c r="AN108" s="492">
        <f>Y108</f>
        <v>0</v>
      </c>
      <c r="AO108" s="492">
        <f t="shared" si="191"/>
        <v>1006328</v>
      </c>
      <c r="AP108" s="492">
        <f t="shared" si="191"/>
        <v>29773</v>
      </c>
      <c r="AQ108" s="578">
        <f t="shared" si="191"/>
        <v>0</v>
      </c>
      <c r="AR108" s="626">
        <f>N108+AK108</f>
        <v>5.5</v>
      </c>
    </row>
    <row r="109" spans="1:44" ht="14.1" customHeight="1" x14ac:dyDescent="0.2">
      <c r="A109" s="499">
        <v>32</v>
      </c>
      <c r="B109" s="512">
        <v>2312</v>
      </c>
      <c r="C109" s="513">
        <v>600079899</v>
      </c>
      <c r="D109" s="512">
        <v>65642350</v>
      </c>
      <c r="E109" s="511" t="s">
        <v>580</v>
      </c>
      <c r="F109" s="499">
        <v>3231</v>
      </c>
      <c r="G109" s="511" t="s">
        <v>281</v>
      </c>
      <c r="H109" s="495" t="s">
        <v>262</v>
      </c>
      <c r="I109" s="627">
        <f t="shared" si="132"/>
        <v>15178285</v>
      </c>
      <c r="J109" s="14">
        <v>11259855</v>
      </c>
      <c r="K109" s="14">
        <v>3805831</v>
      </c>
      <c r="L109" s="14">
        <v>112599</v>
      </c>
      <c r="M109" s="14">
        <v>0</v>
      </c>
      <c r="N109" s="682">
        <v>16.9133</v>
      </c>
      <c r="O109" s="696">
        <f t="shared" si="133"/>
        <v>-100000</v>
      </c>
      <c r="P109" s="492">
        <v>0</v>
      </c>
      <c r="Q109" s="492">
        <v>0</v>
      </c>
      <c r="R109" s="492">
        <v>0</v>
      </c>
      <c r="S109" s="492">
        <v>0</v>
      </c>
      <c r="T109" s="492">
        <v>0</v>
      </c>
      <c r="U109" s="492">
        <f>O109+P109+Q109+R109+S109+T109</f>
        <v>-100000</v>
      </c>
      <c r="V109" s="492">
        <v>100000</v>
      </c>
      <c r="W109" s="492">
        <v>0</v>
      </c>
      <c r="X109" s="492">
        <v>0</v>
      </c>
      <c r="Y109" s="492">
        <f t="shared" si="187"/>
        <v>100000</v>
      </c>
      <c r="Z109" s="492">
        <f t="shared" si="188"/>
        <v>0</v>
      </c>
      <c r="AA109" s="494">
        <f t="shared" si="189"/>
        <v>0</v>
      </c>
      <c r="AB109" s="494">
        <f t="shared" si="190"/>
        <v>-1000</v>
      </c>
      <c r="AC109" s="14">
        <v>0</v>
      </c>
      <c r="AD109" s="892">
        <f t="shared" si="134"/>
        <v>-1000</v>
      </c>
      <c r="AE109" s="702">
        <v>-0.13</v>
      </c>
      <c r="AF109" s="702">
        <v>0</v>
      </c>
      <c r="AG109" s="491">
        <v>0</v>
      </c>
      <c r="AH109" s="491">
        <v>0</v>
      </c>
      <c r="AI109" s="491">
        <v>0</v>
      </c>
      <c r="AJ109" s="491">
        <v>0</v>
      </c>
      <c r="AK109" s="626">
        <f>SUM(AE109:AJ109)</f>
        <v>-0.13</v>
      </c>
      <c r="AL109" s="696">
        <f>I109+AD109</f>
        <v>15177285</v>
      </c>
      <c r="AM109" s="492">
        <f>J109+U109</f>
        <v>11159855</v>
      </c>
      <c r="AN109" s="492">
        <f>Y109</f>
        <v>100000</v>
      </c>
      <c r="AO109" s="492">
        <f t="shared" si="191"/>
        <v>3805831</v>
      </c>
      <c r="AP109" s="492">
        <f t="shared" si="191"/>
        <v>111599</v>
      </c>
      <c r="AQ109" s="578">
        <f t="shared" si="191"/>
        <v>0</v>
      </c>
      <c r="AR109" s="626">
        <f>N109+AK109</f>
        <v>16.783300000000001</v>
      </c>
    </row>
    <row r="110" spans="1:44" ht="14.1" customHeight="1" x14ac:dyDescent="0.2">
      <c r="A110" s="510">
        <v>32</v>
      </c>
      <c r="B110" s="508">
        <v>2312</v>
      </c>
      <c r="C110" s="509">
        <v>600079899</v>
      </c>
      <c r="D110" s="508">
        <v>65642350</v>
      </c>
      <c r="E110" s="506" t="s">
        <v>581</v>
      </c>
      <c r="F110" s="510"/>
      <c r="G110" s="506"/>
      <c r="H110" s="505"/>
      <c r="I110" s="632">
        <f t="shared" ref="I110:AR110" si="196">SUM(I105:I109)</f>
        <v>51134194</v>
      </c>
      <c r="J110" s="520">
        <f t="shared" si="196"/>
        <v>37933378</v>
      </c>
      <c r="K110" s="520">
        <f t="shared" si="196"/>
        <v>12821482</v>
      </c>
      <c r="L110" s="520">
        <f t="shared" si="196"/>
        <v>379334</v>
      </c>
      <c r="M110" s="520">
        <f t="shared" si="196"/>
        <v>0</v>
      </c>
      <c r="N110" s="886">
        <f t="shared" si="196"/>
        <v>54.594999999999999</v>
      </c>
      <c r="O110" s="632">
        <f t="shared" si="196"/>
        <v>-240000</v>
      </c>
      <c r="P110" s="519">
        <f t="shared" si="196"/>
        <v>2463203</v>
      </c>
      <c r="Q110" s="519">
        <f t="shared" si="196"/>
        <v>0</v>
      </c>
      <c r="R110" s="519">
        <f t="shared" si="196"/>
        <v>0</v>
      </c>
      <c r="S110" s="519">
        <f t="shared" si="196"/>
        <v>0</v>
      </c>
      <c r="T110" s="519">
        <f t="shared" si="196"/>
        <v>0</v>
      </c>
      <c r="U110" s="519">
        <f t="shared" si="196"/>
        <v>2223203</v>
      </c>
      <c r="V110" s="519">
        <f t="shared" si="196"/>
        <v>240000</v>
      </c>
      <c r="W110" s="519">
        <f t="shared" si="196"/>
        <v>0</v>
      </c>
      <c r="X110" s="519">
        <f t="shared" si="196"/>
        <v>0</v>
      </c>
      <c r="Y110" s="519">
        <f t="shared" si="196"/>
        <v>240000</v>
      </c>
      <c r="Z110" s="519">
        <f t="shared" si="196"/>
        <v>2463203</v>
      </c>
      <c r="AA110" s="519">
        <f t="shared" si="196"/>
        <v>832563</v>
      </c>
      <c r="AB110" s="519">
        <f t="shared" si="196"/>
        <v>22232</v>
      </c>
      <c r="AC110" s="519">
        <f t="shared" si="196"/>
        <v>0</v>
      </c>
      <c r="AD110" s="893">
        <f t="shared" si="196"/>
        <v>3317998</v>
      </c>
      <c r="AE110" s="704">
        <f t="shared" si="196"/>
        <v>-0.28000000000000003</v>
      </c>
      <c r="AF110" s="704">
        <f t="shared" si="196"/>
        <v>5.94</v>
      </c>
      <c r="AG110" s="518">
        <f t="shared" si="196"/>
        <v>0</v>
      </c>
      <c r="AH110" s="518">
        <f t="shared" si="196"/>
        <v>0</v>
      </c>
      <c r="AI110" s="518">
        <f t="shared" si="196"/>
        <v>0</v>
      </c>
      <c r="AJ110" s="518">
        <f t="shared" si="196"/>
        <v>0</v>
      </c>
      <c r="AK110" s="633">
        <f t="shared" si="196"/>
        <v>5.66</v>
      </c>
      <c r="AL110" s="632">
        <f t="shared" si="196"/>
        <v>54452192</v>
      </c>
      <c r="AM110" s="519">
        <f t="shared" si="196"/>
        <v>40156581</v>
      </c>
      <c r="AN110" s="553">
        <f t="shared" si="196"/>
        <v>240000</v>
      </c>
      <c r="AO110" s="519">
        <f t="shared" si="196"/>
        <v>13654045</v>
      </c>
      <c r="AP110" s="519">
        <f t="shared" si="196"/>
        <v>401566</v>
      </c>
      <c r="AQ110" s="519">
        <f t="shared" si="196"/>
        <v>0</v>
      </c>
      <c r="AR110" s="633">
        <f t="shared" si="196"/>
        <v>60.254999999999995</v>
      </c>
    </row>
    <row r="111" spans="1:44" ht="14.1" customHeight="1" x14ac:dyDescent="0.2">
      <c r="A111" s="499">
        <v>33</v>
      </c>
      <c r="B111" s="512">
        <v>2479</v>
      </c>
      <c r="C111" s="513">
        <v>600080340</v>
      </c>
      <c r="D111" s="512">
        <v>65100280</v>
      </c>
      <c r="E111" s="511" t="s">
        <v>582</v>
      </c>
      <c r="F111" s="499">
        <v>3113</v>
      </c>
      <c r="G111" s="511" t="s">
        <v>280</v>
      </c>
      <c r="H111" s="495" t="s">
        <v>262</v>
      </c>
      <c r="I111" s="627">
        <f t="shared" si="132"/>
        <v>37835537</v>
      </c>
      <c r="J111" s="14">
        <v>28067906</v>
      </c>
      <c r="K111" s="14">
        <v>9486952</v>
      </c>
      <c r="L111" s="14">
        <v>280679</v>
      </c>
      <c r="M111" s="14">
        <v>0</v>
      </c>
      <c r="N111" s="121">
        <v>38.454500000000003</v>
      </c>
      <c r="O111" s="696">
        <f t="shared" si="133"/>
        <v>-20000</v>
      </c>
      <c r="P111" s="492">
        <v>0</v>
      </c>
      <c r="Q111" s="492">
        <v>0</v>
      </c>
      <c r="R111" s="492">
        <v>0</v>
      </c>
      <c r="S111" s="492">
        <v>0</v>
      </c>
      <c r="T111" s="492">
        <v>0</v>
      </c>
      <c r="U111" s="492">
        <f>O111+P111+Q111+R111+S111+T111</f>
        <v>-20000</v>
      </c>
      <c r="V111" s="492">
        <v>20000</v>
      </c>
      <c r="W111" s="492">
        <v>0</v>
      </c>
      <c r="X111" s="492">
        <v>0</v>
      </c>
      <c r="Y111" s="492">
        <f t="shared" ref="Y111:Y114" si="197">V111+W111+X111</f>
        <v>20000</v>
      </c>
      <c r="Z111" s="492">
        <f t="shared" ref="Z111:Z114" si="198">U111+Y111</f>
        <v>0</v>
      </c>
      <c r="AA111" s="494">
        <f t="shared" ref="AA111:AA114" si="199">ROUND((U111+Y111)*33.8%,0)</f>
        <v>0</v>
      </c>
      <c r="AB111" s="494">
        <f>ROUND(U111*1%,0)</f>
        <v>-200</v>
      </c>
      <c r="AC111" s="14">
        <v>0</v>
      </c>
      <c r="AD111" s="892">
        <f t="shared" si="134"/>
        <v>-200</v>
      </c>
      <c r="AE111" s="702">
        <v>-0.03</v>
      </c>
      <c r="AF111" s="702">
        <v>0</v>
      </c>
      <c r="AG111" s="491">
        <v>0</v>
      </c>
      <c r="AH111" s="491">
        <v>0</v>
      </c>
      <c r="AI111" s="491">
        <v>0</v>
      </c>
      <c r="AJ111" s="491">
        <v>0</v>
      </c>
      <c r="AK111" s="626">
        <f>SUM(AE111:AJ111)</f>
        <v>-0.03</v>
      </c>
      <c r="AL111" s="696">
        <f>I111+AD111</f>
        <v>37835337</v>
      </c>
      <c r="AM111" s="492">
        <f>J111+U111</f>
        <v>28047906</v>
      </c>
      <c r="AN111" s="492">
        <f>Y111</f>
        <v>20000</v>
      </c>
      <c r="AO111" s="492">
        <f t="shared" ref="AO111:AQ114" si="200">K111+AA111</f>
        <v>9486952</v>
      </c>
      <c r="AP111" s="492">
        <f t="shared" si="200"/>
        <v>280479</v>
      </c>
      <c r="AQ111" s="578">
        <f t="shared" si="200"/>
        <v>0</v>
      </c>
      <c r="AR111" s="626">
        <f>N111+AK111</f>
        <v>38.424500000000002</v>
      </c>
    </row>
    <row r="112" spans="1:44" ht="14.1" customHeight="1" x14ac:dyDescent="0.2">
      <c r="A112" s="499">
        <v>33</v>
      </c>
      <c r="B112" s="512">
        <v>2479</v>
      </c>
      <c r="C112" s="513">
        <v>600080340</v>
      </c>
      <c r="D112" s="512">
        <v>65100280</v>
      </c>
      <c r="E112" s="511" t="s">
        <v>582</v>
      </c>
      <c r="F112" s="499">
        <v>3113</v>
      </c>
      <c r="G112" s="511" t="s">
        <v>799</v>
      </c>
      <c r="H112" s="495" t="s">
        <v>262</v>
      </c>
      <c r="I112" s="627">
        <f t="shared" si="132"/>
        <v>761065</v>
      </c>
      <c r="J112" s="14">
        <v>564588</v>
      </c>
      <c r="K112" s="14">
        <v>190831</v>
      </c>
      <c r="L112" s="14">
        <v>5646</v>
      </c>
      <c r="M112" s="14">
        <v>0</v>
      </c>
      <c r="N112" s="121">
        <v>1</v>
      </c>
      <c r="O112" s="696">
        <f t="shared" si="133"/>
        <v>0</v>
      </c>
      <c r="P112" s="492">
        <v>0</v>
      </c>
      <c r="Q112" s="492">
        <v>0</v>
      </c>
      <c r="R112" s="492">
        <v>0</v>
      </c>
      <c r="S112" s="492">
        <v>0</v>
      </c>
      <c r="T112" s="492">
        <v>0</v>
      </c>
      <c r="U112" s="492">
        <f>O112+P112+Q112+R112+S112+T112</f>
        <v>0</v>
      </c>
      <c r="V112" s="492">
        <v>0</v>
      </c>
      <c r="W112" s="492">
        <v>0</v>
      </c>
      <c r="X112" s="492">
        <v>0</v>
      </c>
      <c r="Y112" s="492">
        <f t="shared" ref="Y112" si="201">V112+W112+X112</f>
        <v>0</v>
      </c>
      <c r="Z112" s="492">
        <f t="shared" ref="Z112" si="202">U112+Y112</f>
        <v>0</v>
      </c>
      <c r="AA112" s="494">
        <f t="shared" ref="AA112" si="203">ROUND((U112+Y112)*33.8%,0)</f>
        <v>0</v>
      </c>
      <c r="AB112" s="494">
        <f>ROUND(U112*1%,0)</f>
        <v>0</v>
      </c>
      <c r="AC112" s="14">
        <v>0</v>
      </c>
      <c r="AD112" s="892">
        <f t="shared" si="134"/>
        <v>0</v>
      </c>
      <c r="AE112" s="702">
        <v>0</v>
      </c>
      <c r="AF112" s="702">
        <v>0</v>
      </c>
      <c r="AG112" s="491">
        <v>0</v>
      </c>
      <c r="AH112" s="491">
        <v>0</v>
      </c>
      <c r="AI112" s="491">
        <v>0</v>
      </c>
      <c r="AJ112" s="491">
        <v>0</v>
      </c>
      <c r="AK112" s="626">
        <f>SUM(AE112:AJ112)</f>
        <v>0</v>
      </c>
      <c r="AL112" s="696">
        <f>I112+AD112</f>
        <v>761065</v>
      </c>
      <c r="AM112" s="492">
        <f>J112+U112</f>
        <v>564588</v>
      </c>
      <c r="AN112" s="492">
        <f>Y112</f>
        <v>0</v>
      </c>
      <c r="AO112" s="492">
        <f t="shared" si="200"/>
        <v>190831</v>
      </c>
      <c r="AP112" s="492">
        <f t="shared" si="200"/>
        <v>5646</v>
      </c>
      <c r="AQ112" s="578">
        <f t="shared" si="200"/>
        <v>0</v>
      </c>
      <c r="AR112" s="626">
        <f>N112+AK112</f>
        <v>1</v>
      </c>
    </row>
    <row r="113" spans="1:44" ht="14.1" customHeight="1" x14ac:dyDescent="0.2">
      <c r="A113" s="499">
        <v>33</v>
      </c>
      <c r="B113" s="512">
        <v>2479</v>
      </c>
      <c r="C113" s="513">
        <v>600080340</v>
      </c>
      <c r="D113" s="512">
        <v>65100280</v>
      </c>
      <c r="E113" s="511" t="s">
        <v>582</v>
      </c>
      <c r="F113" s="499">
        <v>3113</v>
      </c>
      <c r="G113" s="514" t="s">
        <v>278</v>
      </c>
      <c r="H113" s="495" t="s">
        <v>263</v>
      </c>
      <c r="I113" s="627">
        <f t="shared" si="132"/>
        <v>0</v>
      </c>
      <c r="J113" s="490">
        <v>0</v>
      </c>
      <c r="K113" s="14">
        <v>0</v>
      </c>
      <c r="L113" s="14">
        <v>0</v>
      </c>
      <c r="M113" s="14">
        <v>0</v>
      </c>
      <c r="N113" s="682">
        <v>0</v>
      </c>
      <c r="O113" s="696">
        <f t="shared" si="133"/>
        <v>0</v>
      </c>
      <c r="P113" s="490">
        <v>3946956</v>
      </c>
      <c r="Q113" s="492">
        <v>0</v>
      </c>
      <c r="R113" s="492">
        <v>0</v>
      </c>
      <c r="S113" s="492">
        <v>0</v>
      </c>
      <c r="T113" s="492">
        <v>0</v>
      </c>
      <c r="U113" s="492">
        <f>O113+P113+Q113+R113+S113+T113</f>
        <v>3946956</v>
      </c>
      <c r="V113" s="492">
        <v>0</v>
      </c>
      <c r="W113" s="492">
        <v>0</v>
      </c>
      <c r="X113" s="492">
        <v>0</v>
      </c>
      <c r="Y113" s="492">
        <f t="shared" si="197"/>
        <v>0</v>
      </c>
      <c r="Z113" s="492">
        <f t="shared" si="198"/>
        <v>3946956</v>
      </c>
      <c r="AA113" s="494">
        <f t="shared" si="199"/>
        <v>1334071</v>
      </c>
      <c r="AB113" s="494">
        <f>ROUND(U113*1%,0)</f>
        <v>39470</v>
      </c>
      <c r="AC113" s="14">
        <v>0</v>
      </c>
      <c r="AD113" s="892">
        <f t="shared" si="134"/>
        <v>5320497</v>
      </c>
      <c r="AE113" s="702">
        <v>0</v>
      </c>
      <c r="AF113" s="121">
        <v>9.6999999999999993</v>
      </c>
      <c r="AG113" s="491">
        <v>0</v>
      </c>
      <c r="AH113" s="491">
        <v>0</v>
      </c>
      <c r="AI113" s="491">
        <v>0</v>
      </c>
      <c r="AJ113" s="491">
        <v>0</v>
      </c>
      <c r="AK113" s="626">
        <f>SUM(AE113:AJ113)</f>
        <v>9.6999999999999993</v>
      </c>
      <c r="AL113" s="696">
        <f>I113+AD113</f>
        <v>5320497</v>
      </c>
      <c r="AM113" s="492">
        <f>J113+U113</f>
        <v>3946956</v>
      </c>
      <c r="AN113" s="492">
        <f>Y113</f>
        <v>0</v>
      </c>
      <c r="AO113" s="492">
        <f t="shared" si="200"/>
        <v>1334071</v>
      </c>
      <c r="AP113" s="492">
        <f t="shared" si="200"/>
        <v>39470</v>
      </c>
      <c r="AQ113" s="578">
        <f t="shared" si="200"/>
        <v>0</v>
      </c>
      <c r="AR113" s="626">
        <f>N113+AK113</f>
        <v>9.6999999999999993</v>
      </c>
    </row>
    <row r="114" spans="1:44" ht="14.1" customHeight="1" x14ac:dyDescent="0.2">
      <c r="A114" s="499">
        <v>33</v>
      </c>
      <c r="B114" s="512">
        <v>2479</v>
      </c>
      <c r="C114" s="513">
        <v>600080340</v>
      </c>
      <c r="D114" s="512">
        <v>65100280</v>
      </c>
      <c r="E114" s="511" t="s">
        <v>582</v>
      </c>
      <c r="F114" s="499">
        <v>3143</v>
      </c>
      <c r="G114" s="514" t="s">
        <v>795</v>
      </c>
      <c r="H114" s="495" t="s">
        <v>262</v>
      </c>
      <c r="I114" s="627">
        <f t="shared" si="132"/>
        <v>5255285</v>
      </c>
      <c r="J114" s="14">
        <v>3898579</v>
      </c>
      <c r="K114" s="14">
        <v>1317720</v>
      </c>
      <c r="L114" s="14">
        <v>38986</v>
      </c>
      <c r="M114" s="14">
        <v>0</v>
      </c>
      <c r="N114" s="121">
        <v>7.1070000000000002</v>
      </c>
      <c r="O114" s="696">
        <f t="shared" si="133"/>
        <v>0</v>
      </c>
      <c r="P114" s="492">
        <v>0</v>
      </c>
      <c r="Q114" s="492">
        <v>0</v>
      </c>
      <c r="R114" s="492">
        <v>0</v>
      </c>
      <c r="S114" s="492">
        <v>0</v>
      </c>
      <c r="T114" s="492">
        <v>0</v>
      </c>
      <c r="U114" s="492">
        <f>O114+P114+Q114+R114+S114+T114</f>
        <v>0</v>
      </c>
      <c r="V114" s="492">
        <v>0</v>
      </c>
      <c r="W114" s="492">
        <v>0</v>
      </c>
      <c r="X114" s="492">
        <v>0</v>
      </c>
      <c r="Y114" s="492">
        <f t="shared" si="197"/>
        <v>0</v>
      </c>
      <c r="Z114" s="492">
        <f t="shared" si="198"/>
        <v>0</v>
      </c>
      <c r="AA114" s="494">
        <f t="shared" si="199"/>
        <v>0</v>
      </c>
      <c r="AB114" s="494">
        <f>ROUND(U114*1%,0)</f>
        <v>0</v>
      </c>
      <c r="AC114" s="14">
        <v>0</v>
      </c>
      <c r="AD114" s="892">
        <f t="shared" si="134"/>
        <v>0</v>
      </c>
      <c r="AE114" s="702">
        <v>0</v>
      </c>
      <c r="AF114" s="702">
        <v>0</v>
      </c>
      <c r="AG114" s="491">
        <v>0</v>
      </c>
      <c r="AH114" s="491">
        <v>0</v>
      </c>
      <c r="AI114" s="491">
        <v>0</v>
      </c>
      <c r="AJ114" s="491">
        <v>0</v>
      </c>
      <c r="AK114" s="626">
        <f>SUM(AE114:AJ114)</f>
        <v>0</v>
      </c>
      <c r="AL114" s="696">
        <f>I114+AD114</f>
        <v>5255285</v>
      </c>
      <c r="AM114" s="492">
        <f>J114+U114</f>
        <v>3898579</v>
      </c>
      <c r="AN114" s="492">
        <f>Y114</f>
        <v>0</v>
      </c>
      <c r="AO114" s="492">
        <f t="shared" si="200"/>
        <v>1317720</v>
      </c>
      <c r="AP114" s="492">
        <f t="shared" si="200"/>
        <v>38986</v>
      </c>
      <c r="AQ114" s="578">
        <f t="shared" si="200"/>
        <v>0</v>
      </c>
      <c r="AR114" s="626">
        <f>N114+AK114</f>
        <v>7.1070000000000002</v>
      </c>
    </row>
    <row r="115" spans="1:44" ht="14.1" customHeight="1" x14ac:dyDescent="0.2">
      <c r="A115" s="510">
        <v>33</v>
      </c>
      <c r="B115" s="508">
        <v>2479</v>
      </c>
      <c r="C115" s="509">
        <v>600080340</v>
      </c>
      <c r="D115" s="508">
        <v>65100280</v>
      </c>
      <c r="E115" s="506" t="s">
        <v>583</v>
      </c>
      <c r="F115" s="510"/>
      <c r="G115" s="506"/>
      <c r="H115" s="505"/>
      <c r="I115" s="629">
        <f t="shared" ref="I115:AR115" si="204">SUM(I111:I114)</f>
        <v>43851887</v>
      </c>
      <c r="J115" s="504">
        <f t="shared" si="204"/>
        <v>32531073</v>
      </c>
      <c r="K115" s="504">
        <f t="shared" si="204"/>
        <v>10995503</v>
      </c>
      <c r="L115" s="504">
        <f t="shared" si="204"/>
        <v>325311</v>
      </c>
      <c r="M115" s="504">
        <f t="shared" si="204"/>
        <v>0</v>
      </c>
      <c r="N115" s="885">
        <f t="shared" si="204"/>
        <v>46.561500000000002</v>
      </c>
      <c r="O115" s="629">
        <f t="shared" si="204"/>
        <v>-20000</v>
      </c>
      <c r="P115" s="503">
        <f t="shared" si="204"/>
        <v>3946956</v>
      </c>
      <c r="Q115" s="503">
        <f t="shared" si="204"/>
        <v>0</v>
      </c>
      <c r="R115" s="503">
        <f t="shared" si="204"/>
        <v>0</v>
      </c>
      <c r="S115" s="503">
        <f t="shared" si="204"/>
        <v>0</v>
      </c>
      <c r="T115" s="503">
        <f t="shared" si="204"/>
        <v>0</v>
      </c>
      <c r="U115" s="503">
        <f t="shared" si="204"/>
        <v>3926956</v>
      </c>
      <c r="V115" s="503">
        <f t="shared" si="204"/>
        <v>20000</v>
      </c>
      <c r="W115" s="503">
        <f t="shared" si="204"/>
        <v>0</v>
      </c>
      <c r="X115" s="503">
        <f t="shared" si="204"/>
        <v>0</v>
      </c>
      <c r="Y115" s="503">
        <f t="shared" si="204"/>
        <v>20000</v>
      </c>
      <c r="Z115" s="503">
        <f t="shared" si="204"/>
        <v>3946956</v>
      </c>
      <c r="AA115" s="503">
        <f t="shared" si="204"/>
        <v>1334071</v>
      </c>
      <c r="AB115" s="503">
        <f t="shared" si="204"/>
        <v>39270</v>
      </c>
      <c r="AC115" s="503">
        <f t="shared" si="204"/>
        <v>0</v>
      </c>
      <c r="AD115" s="891">
        <f t="shared" si="204"/>
        <v>5320297</v>
      </c>
      <c r="AE115" s="701">
        <f t="shared" si="204"/>
        <v>-0.03</v>
      </c>
      <c r="AF115" s="701">
        <f t="shared" si="204"/>
        <v>9.6999999999999993</v>
      </c>
      <c r="AG115" s="502">
        <f t="shared" si="204"/>
        <v>0</v>
      </c>
      <c r="AH115" s="502">
        <f t="shared" si="204"/>
        <v>0</v>
      </c>
      <c r="AI115" s="502">
        <f t="shared" si="204"/>
        <v>0</v>
      </c>
      <c r="AJ115" s="502">
        <f t="shared" si="204"/>
        <v>0</v>
      </c>
      <c r="AK115" s="630">
        <f t="shared" si="204"/>
        <v>9.67</v>
      </c>
      <c r="AL115" s="629">
        <f t="shared" si="204"/>
        <v>49172184</v>
      </c>
      <c r="AM115" s="503">
        <f t="shared" si="204"/>
        <v>36458029</v>
      </c>
      <c r="AN115" s="552">
        <f t="shared" si="204"/>
        <v>20000</v>
      </c>
      <c r="AO115" s="503">
        <f t="shared" si="204"/>
        <v>12329574</v>
      </c>
      <c r="AP115" s="503">
        <f t="shared" si="204"/>
        <v>364581</v>
      </c>
      <c r="AQ115" s="503">
        <f t="shared" si="204"/>
        <v>0</v>
      </c>
      <c r="AR115" s="630">
        <f t="shared" si="204"/>
        <v>56.231499999999997</v>
      </c>
    </row>
    <row r="116" spans="1:44" ht="14.1" customHeight="1" x14ac:dyDescent="0.2">
      <c r="A116" s="499">
        <v>34</v>
      </c>
      <c r="B116" s="512">
        <v>2475</v>
      </c>
      <c r="C116" s="513">
        <v>600080331</v>
      </c>
      <c r="D116" s="512">
        <v>65642368</v>
      </c>
      <c r="E116" s="511" t="s">
        <v>584</v>
      </c>
      <c r="F116" s="499">
        <v>3113</v>
      </c>
      <c r="G116" s="511" t="s">
        <v>280</v>
      </c>
      <c r="H116" s="495" t="s">
        <v>262</v>
      </c>
      <c r="I116" s="627">
        <f t="shared" si="132"/>
        <v>41654611</v>
      </c>
      <c r="J116" s="14">
        <v>30901046</v>
      </c>
      <c r="K116" s="14">
        <v>10444554</v>
      </c>
      <c r="L116" s="14">
        <v>309011</v>
      </c>
      <c r="M116" s="14">
        <v>0</v>
      </c>
      <c r="N116" s="121">
        <v>41.082999999999998</v>
      </c>
      <c r="O116" s="696">
        <f t="shared" si="133"/>
        <v>-310000</v>
      </c>
      <c r="P116" s="492">
        <v>0</v>
      </c>
      <c r="Q116" s="492">
        <v>50040</v>
      </c>
      <c r="R116" s="492">
        <v>0</v>
      </c>
      <c r="S116" s="492">
        <v>0</v>
      </c>
      <c r="T116" s="492">
        <v>0</v>
      </c>
      <c r="U116" s="492">
        <f>O116+P116+Q116+R116+S116+T116</f>
        <v>-259960</v>
      </c>
      <c r="V116" s="492">
        <v>310000</v>
      </c>
      <c r="W116" s="492">
        <v>0</v>
      </c>
      <c r="X116" s="492">
        <v>0</v>
      </c>
      <c r="Y116" s="492">
        <f t="shared" ref="Y116:Y119" si="205">V116+W116+X116</f>
        <v>310000</v>
      </c>
      <c r="Z116" s="492">
        <f t="shared" ref="Z116:Z119" si="206">U116+Y116</f>
        <v>50040</v>
      </c>
      <c r="AA116" s="494">
        <f t="shared" ref="AA116:AA119" si="207">ROUND((U116+Y116)*33.8%,0)</f>
        <v>16914</v>
      </c>
      <c r="AB116" s="494">
        <f>ROUND(U116*1%,0)</f>
        <v>-2600</v>
      </c>
      <c r="AC116" s="14">
        <v>0</v>
      </c>
      <c r="AD116" s="892">
        <f t="shared" si="134"/>
        <v>64354</v>
      </c>
      <c r="AE116" s="702">
        <v>-0.42</v>
      </c>
      <c r="AF116" s="702">
        <v>0</v>
      </c>
      <c r="AG116" s="491">
        <v>0</v>
      </c>
      <c r="AH116" s="491">
        <v>7.0000000000000007E-2</v>
      </c>
      <c r="AI116" s="491">
        <v>0</v>
      </c>
      <c r="AJ116" s="491">
        <v>0</v>
      </c>
      <c r="AK116" s="626">
        <f>SUM(AE116:AJ116)</f>
        <v>-0.35</v>
      </c>
      <c r="AL116" s="696">
        <f>I116+AD116</f>
        <v>41718965</v>
      </c>
      <c r="AM116" s="492">
        <f>J116+U116</f>
        <v>30641086</v>
      </c>
      <c r="AN116" s="492">
        <f>Y116</f>
        <v>310000</v>
      </c>
      <c r="AO116" s="492">
        <f t="shared" ref="AO116:AQ119" si="208">K116+AA116</f>
        <v>10461468</v>
      </c>
      <c r="AP116" s="492">
        <f t="shared" si="208"/>
        <v>306411</v>
      </c>
      <c r="AQ116" s="578">
        <f t="shared" si="208"/>
        <v>0</v>
      </c>
      <c r="AR116" s="626">
        <f>N116+AK116</f>
        <v>40.732999999999997</v>
      </c>
    </row>
    <row r="117" spans="1:44" ht="14.1" customHeight="1" x14ac:dyDescent="0.2">
      <c r="A117" s="499">
        <v>34</v>
      </c>
      <c r="B117" s="512">
        <v>2475</v>
      </c>
      <c r="C117" s="513">
        <v>600080331</v>
      </c>
      <c r="D117" s="512">
        <v>65642368</v>
      </c>
      <c r="E117" s="511" t="s">
        <v>584</v>
      </c>
      <c r="F117" s="499">
        <v>3113</v>
      </c>
      <c r="G117" s="511" t="s">
        <v>799</v>
      </c>
      <c r="H117" s="495" t="s">
        <v>262</v>
      </c>
      <c r="I117" s="627">
        <f t="shared" si="132"/>
        <v>826113</v>
      </c>
      <c r="J117" s="14">
        <v>612844</v>
      </c>
      <c r="K117" s="14">
        <v>207141</v>
      </c>
      <c r="L117" s="14">
        <v>6128</v>
      </c>
      <c r="M117" s="14">
        <v>0</v>
      </c>
      <c r="N117" s="121">
        <v>1.0909</v>
      </c>
      <c r="O117" s="696">
        <f t="shared" si="133"/>
        <v>0</v>
      </c>
      <c r="P117" s="492">
        <v>0</v>
      </c>
      <c r="Q117" s="492">
        <v>0</v>
      </c>
      <c r="R117" s="492">
        <v>0</v>
      </c>
      <c r="S117" s="492">
        <v>0</v>
      </c>
      <c r="T117" s="492">
        <v>0</v>
      </c>
      <c r="U117" s="492">
        <f>O117+P117+Q117+R117+S117+T117</f>
        <v>0</v>
      </c>
      <c r="V117" s="492">
        <v>0</v>
      </c>
      <c r="W117" s="492">
        <v>0</v>
      </c>
      <c r="X117" s="492">
        <v>0</v>
      </c>
      <c r="Y117" s="492">
        <f t="shared" ref="Y117" si="209">V117+W117+X117</f>
        <v>0</v>
      </c>
      <c r="Z117" s="492">
        <f t="shared" ref="Z117" si="210">U117+Y117</f>
        <v>0</v>
      </c>
      <c r="AA117" s="494">
        <f t="shared" ref="AA117" si="211">ROUND((U117+Y117)*33.8%,0)</f>
        <v>0</v>
      </c>
      <c r="AB117" s="494">
        <f>ROUND(U117*1%,0)</f>
        <v>0</v>
      </c>
      <c r="AC117" s="14">
        <v>0</v>
      </c>
      <c r="AD117" s="892">
        <f t="shared" si="134"/>
        <v>0</v>
      </c>
      <c r="AE117" s="702">
        <v>0</v>
      </c>
      <c r="AF117" s="702">
        <v>0</v>
      </c>
      <c r="AG117" s="491">
        <v>0</v>
      </c>
      <c r="AH117" s="491">
        <v>0</v>
      </c>
      <c r="AI117" s="491">
        <v>0</v>
      </c>
      <c r="AJ117" s="491">
        <v>0</v>
      </c>
      <c r="AK117" s="626">
        <f>SUM(AE117:AJ117)</f>
        <v>0</v>
      </c>
      <c r="AL117" s="696">
        <f>I117+AD117</f>
        <v>826113</v>
      </c>
      <c r="AM117" s="492">
        <f>J117+U117</f>
        <v>612844</v>
      </c>
      <c r="AN117" s="492">
        <f>Y117</f>
        <v>0</v>
      </c>
      <c r="AO117" s="492">
        <f t="shared" si="208"/>
        <v>207141</v>
      </c>
      <c r="AP117" s="492">
        <f t="shared" si="208"/>
        <v>6128</v>
      </c>
      <c r="AQ117" s="578">
        <f t="shared" si="208"/>
        <v>0</v>
      </c>
      <c r="AR117" s="626">
        <f>N117+AK117</f>
        <v>1.0909</v>
      </c>
    </row>
    <row r="118" spans="1:44" ht="14.1" customHeight="1" x14ac:dyDescent="0.2">
      <c r="A118" s="499">
        <v>34</v>
      </c>
      <c r="B118" s="512">
        <v>2475</v>
      </c>
      <c r="C118" s="513">
        <v>600080331</v>
      </c>
      <c r="D118" s="512">
        <v>65642368</v>
      </c>
      <c r="E118" s="511" t="s">
        <v>584</v>
      </c>
      <c r="F118" s="499">
        <v>3113</v>
      </c>
      <c r="G118" s="514" t="s">
        <v>278</v>
      </c>
      <c r="H118" s="495" t="s">
        <v>263</v>
      </c>
      <c r="I118" s="627">
        <f t="shared" si="132"/>
        <v>0</v>
      </c>
      <c r="J118" s="490">
        <v>0</v>
      </c>
      <c r="K118" s="14">
        <v>0</v>
      </c>
      <c r="L118" s="14">
        <v>0</v>
      </c>
      <c r="M118" s="14">
        <v>0</v>
      </c>
      <c r="N118" s="682">
        <v>0</v>
      </c>
      <c r="O118" s="696">
        <f t="shared" si="133"/>
        <v>0</v>
      </c>
      <c r="P118" s="490">
        <v>4283975</v>
      </c>
      <c r="Q118" s="492">
        <v>0</v>
      </c>
      <c r="R118" s="492">
        <v>0</v>
      </c>
      <c r="S118" s="492">
        <v>0</v>
      </c>
      <c r="T118" s="492">
        <v>0</v>
      </c>
      <c r="U118" s="492">
        <f>O118+P118+Q118+R118+S118+T118</f>
        <v>4283975</v>
      </c>
      <c r="V118" s="492">
        <v>0</v>
      </c>
      <c r="W118" s="492">
        <v>0</v>
      </c>
      <c r="X118" s="492">
        <v>0</v>
      </c>
      <c r="Y118" s="492">
        <f t="shared" si="205"/>
        <v>0</v>
      </c>
      <c r="Z118" s="492">
        <f t="shared" si="206"/>
        <v>4283975</v>
      </c>
      <c r="AA118" s="494">
        <f t="shared" si="207"/>
        <v>1447984</v>
      </c>
      <c r="AB118" s="494">
        <f>ROUND(U118*1%,0)</f>
        <v>42840</v>
      </c>
      <c r="AC118" s="14">
        <v>0</v>
      </c>
      <c r="AD118" s="892">
        <f t="shared" si="134"/>
        <v>5774799</v>
      </c>
      <c r="AE118" s="702">
        <v>0</v>
      </c>
      <c r="AF118" s="121">
        <v>10.49</v>
      </c>
      <c r="AG118" s="491">
        <v>0</v>
      </c>
      <c r="AH118" s="491">
        <v>0</v>
      </c>
      <c r="AI118" s="491">
        <v>0</v>
      </c>
      <c r="AJ118" s="491">
        <v>0</v>
      </c>
      <c r="AK118" s="626">
        <f>SUM(AE118:AJ118)</f>
        <v>10.49</v>
      </c>
      <c r="AL118" s="696">
        <f>I118+AD118</f>
        <v>5774799</v>
      </c>
      <c r="AM118" s="492">
        <f>J118+U118</f>
        <v>4283975</v>
      </c>
      <c r="AN118" s="492">
        <f>Y118</f>
        <v>0</v>
      </c>
      <c r="AO118" s="492">
        <f t="shared" si="208"/>
        <v>1447984</v>
      </c>
      <c r="AP118" s="492">
        <f t="shared" si="208"/>
        <v>42840</v>
      </c>
      <c r="AQ118" s="578">
        <f t="shared" si="208"/>
        <v>0</v>
      </c>
      <c r="AR118" s="626">
        <f>N118+AK118</f>
        <v>10.49</v>
      </c>
    </row>
    <row r="119" spans="1:44" ht="14.1" customHeight="1" x14ac:dyDescent="0.2">
      <c r="A119" s="499">
        <v>34</v>
      </c>
      <c r="B119" s="512">
        <v>2475</v>
      </c>
      <c r="C119" s="513">
        <v>600080331</v>
      </c>
      <c r="D119" s="512">
        <v>65642368</v>
      </c>
      <c r="E119" s="511" t="s">
        <v>584</v>
      </c>
      <c r="F119" s="499">
        <v>3143</v>
      </c>
      <c r="G119" s="514" t="s">
        <v>795</v>
      </c>
      <c r="H119" s="495" t="s">
        <v>262</v>
      </c>
      <c r="I119" s="627">
        <f t="shared" si="132"/>
        <v>4625240</v>
      </c>
      <c r="J119" s="14">
        <v>3431187</v>
      </c>
      <c r="K119" s="14">
        <v>1159741</v>
      </c>
      <c r="L119" s="14">
        <v>34312</v>
      </c>
      <c r="M119" s="14">
        <v>0</v>
      </c>
      <c r="N119" s="121">
        <v>6.2140000000000004</v>
      </c>
      <c r="O119" s="696">
        <f t="shared" si="133"/>
        <v>0</v>
      </c>
      <c r="P119" s="492">
        <v>0</v>
      </c>
      <c r="Q119" s="492">
        <v>0</v>
      </c>
      <c r="R119" s="492">
        <v>0</v>
      </c>
      <c r="S119" s="492">
        <v>0</v>
      </c>
      <c r="T119" s="492">
        <v>0</v>
      </c>
      <c r="U119" s="492">
        <f>O119+P119+Q119+R119+S119+T119</f>
        <v>0</v>
      </c>
      <c r="V119" s="492">
        <v>0</v>
      </c>
      <c r="W119" s="492">
        <v>0</v>
      </c>
      <c r="X119" s="492">
        <v>0</v>
      </c>
      <c r="Y119" s="492">
        <f t="shared" si="205"/>
        <v>0</v>
      </c>
      <c r="Z119" s="492">
        <f t="shared" si="206"/>
        <v>0</v>
      </c>
      <c r="AA119" s="494">
        <f t="shared" si="207"/>
        <v>0</v>
      </c>
      <c r="AB119" s="494">
        <f>ROUND(U119*1%,0)</f>
        <v>0</v>
      </c>
      <c r="AC119" s="14">
        <v>0</v>
      </c>
      <c r="AD119" s="892">
        <f t="shared" si="134"/>
        <v>0</v>
      </c>
      <c r="AE119" s="702">
        <v>0</v>
      </c>
      <c r="AF119" s="702">
        <v>0</v>
      </c>
      <c r="AG119" s="491">
        <v>0</v>
      </c>
      <c r="AH119" s="491">
        <v>0</v>
      </c>
      <c r="AI119" s="491">
        <v>0</v>
      </c>
      <c r="AJ119" s="491">
        <v>0</v>
      </c>
      <c r="AK119" s="626">
        <f>SUM(AE119:AJ119)</f>
        <v>0</v>
      </c>
      <c r="AL119" s="696">
        <f>I119+AD119</f>
        <v>4625240</v>
      </c>
      <c r="AM119" s="492">
        <f>J119+U119</f>
        <v>3431187</v>
      </c>
      <c r="AN119" s="492">
        <f>Y119</f>
        <v>0</v>
      </c>
      <c r="AO119" s="492">
        <f t="shared" si="208"/>
        <v>1159741</v>
      </c>
      <c r="AP119" s="492">
        <f t="shared" si="208"/>
        <v>34312</v>
      </c>
      <c r="AQ119" s="578">
        <f t="shared" si="208"/>
        <v>0</v>
      </c>
      <c r="AR119" s="626">
        <f>N119+AK119</f>
        <v>6.2140000000000004</v>
      </c>
    </row>
    <row r="120" spans="1:44" ht="14.1" customHeight="1" x14ac:dyDescent="0.2">
      <c r="A120" s="510">
        <v>34</v>
      </c>
      <c r="B120" s="508">
        <v>2475</v>
      </c>
      <c r="C120" s="509">
        <v>600080331</v>
      </c>
      <c r="D120" s="508">
        <v>65642368</v>
      </c>
      <c r="E120" s="506" t="s">
        <v>585</v>
      </c>
      <c r="F120" s="510"/>
      <c r="G120" s="506"/>
      <c r="H120" s="505"/>
      <c r="I120" s="629">
        <f t="shared" ref="I120:AR120" si="212">SUM(I116:I119)</f>
        <v>47105964</v>
      </c>
      <c r="J120" s="504">
        <f t="shared" si="212"/>
        <v>34945077</v>
      </c>
      <c r="K120" s="504">
        <f t="shared" si="212"/>
        <v>11811436</v>
      </c>
      <c r="L120" s="504">
        <f t="shared" si="212"/>
        <v>349451</v>
      </c>
      <c r="M120" s="504">
        <f t="shared" si="212"/>
        <v>0</v>
      </c>
      <c r="N120" s="885">
        <f t="shared" si="212"/>
        <v>48.387899999999995</v>
      </c>
      <c r="O120" s="629">
        <f t="shared" si="212"/>
        <v>-310000</v>
      </c>
      <c r="P120" s="503">
        <f t="shared" si="212"/>
        <v>4283975</v>
      </c>
      <c r="Q120" s="503">
        <f t="shared" si="212"/>
        <v>50040</v>
      </c>
      <c r="R120" s="503">
        <f t="shared" si="212"/>
        <v>0</v>
      </c>
      <c r="S120" s="503">
        <f t="shared" si="212"/>
        <v>0</v>
      </c>
      <c r="T120" s="503">
        <f t="shared" si="212"/>
        <v>0</v>
      </c>
      <c r="U120" s="503">
        <f t="shared" si="212"/>
        <v>4024015</v>
      </c>
      <c r="V120" s="503">
        <f t="shared" si="212"/>
        <v>310000</v>
      </c>
      <c r="W120" s="503">
        <f t="shared" si="212"/>
        <v>0</v>
      </c>
      <c r="X120" s="503">
        <f t="shared" si="212"/>
        <v>0</v>
      </c>
      <c r="Y120" s="503">
        <f t="shared" si="212"/>
        <v>310000</v>
      </c>
      <c r="Z120" s="503">
        <f t="shared" si="212"/>
        <v>4334015</v>
      </c>
      <c r="AA120" s="503">
        <f t="shared" si="212"/>
        <v>1464898</v>
      </c>
      <c r="AB120" s="503">
        <f t="shared" si="212"/>
        <v>40240</v>
      </c>
      <c r="AC120" s="503">
        <f t="shared" si="212"/>
        <v>0</v>
      </c>
      <c r="AD120" s="891">
        <f t="shared" si="212"/>
        <v>5839153</v>
      </c>
      <c r="AE120" s="701">
        <f t="shared" si="212"/>
        <v>-0.42</v>
      </c>
      <c r="AF120" s="701">
        <f t="shared" si="212"/>
        <v>10.49</v>
      </c>
      <c r="AG120" s="502">
        <f t="shared" si="212"/>
        <v>0</v>
      </c>
      <c r="AH120" s="502">
        <f t="shared" si="212"/>
        <v>7.0000000000000007E-2</v>
      </c>
      <c r="AI120" s="502">
        <f t="shared" si="212"/>
        <v>0</v>
      </c>
      <c r="AJ120" s="502">
        <f t="shared" si="212"/>
        <v>0</v>
      </c>
      <c r="AK120" s="630">
        <f t="shared" si="212"/>
        <v>10.14</v>
      </c>
      <c r="AL120" s="629">
        <f t="shared" si="212"/>
        <v>52945117</v>
      </c>
      <c r="AM120" s="503">
        <f t="shared" si="212"/>
        <v>38969092</v>
      </c>
      <c r="AN120" s="552">
        <f t="shared" si="212"/>
        <v>310000</v>
      </c>
      <c r="AO120" s="503">
        <f t="shared" si="212"/>
        <v>13276334</v>
      </c>
      <c r="AP120" s="503">
        <f t="shared" si="212"/>
        <v>389691</v>
      </c>
      <c r="AQ120" s="503">
        <f t="shared" si="212"/>
        <v>0</v>
      </c>
      <c r="AR120" s="630">
        <f t="shared" si="212"/>
        <v>58.527899999999995</v>
      </c>
    </row>
    <row r="121" spans="1:44" ht="14.1" customHeight="1" x14ac:dyDescent="0.2">
      <c r="A121" s="499">
        <v>35</v>
      </c>
      <c r="B121" s="512">
        <v>2476</v>
      </c>
      <c r="C121" s="513">
        <v>600080170</v>
      </c>
      <c r="D121" s="512">
        <v>64040364</v>
      </c>
      <c r="E121" s="511" t="s">
        <v>586</v>
      </c>
      <c r="F121" s="499">
        <v>3113</v>
      </c>
      <c r="G121" s="511" t="s">
        <v>280</v>
      </c>
      <c r="H121" s="495" t="s">
        <v>262</v>
      </c>
      <c r="I121" s="627">
        <f t="shared" si="132"/>
        <v>41328103</v>
      </c>
      <c r="J121" s="14">
        <v>30658830</v>
      </c>
      <c r="K121" s="14">
        <v>10362685</v>
      </c>
      <c r="L121" s="14">
        <v>306588</v>
      </c>
      <c r="M121" s="14">
        <v>0</v>
      </c>
      <c r="N121" s="121">
        <v>42.091000000000001</v>
      </c>
      <c r="O121" s="696">
        <f t="shared" si="133"/>
        <v>0</v>
      </c>
      <c r="P121" s="492">
        <v>0</v>
      </c>
      <c r="Q121" s="492">
        <v>59770</v>
      </c>
      <c r="R121" s="492">
        <v>0</v>
      </c>
      <c r="S121" s="492">
        <v>0</v>
      </c>
      <c r="T121" s="492">
        <v>0</v>
      </c>
      <c r="U121" s="492">
        <f>O121+P121+Q121+R121+S121+T121</f>
        <v>59770</v>
      </c>
      <c r="V121" s="492">
        <v>0</v>
      </c>
      <c r="W121" s="492">
        <v>0</v>
      </c>
      <c r="X121" s="492">
        <v>0</v>
      </c>
      <c r="Y121" s="492">
        <f t="shared" ref="Y121:Y124" si="213">V121+W121+X121</f>
        <v>0</v>
      </c>
      <c r="Z121" s="492">
        <f t="shared" ref="Z121:Z124" si="214">U121+Y121</f>
        <v>59770</v>
      </c>
      <c r="AA121" s="494">
        <f t="shared" ref="AA121:AA124" si="215">ROUND((U121+Y121)*33.8%,0)</f>
        <v>20202</v>
      </c>
      <c r="AB121" s="494">
        <f>ROUND(U121*1%,0)</f>
        <v>598</v>
      </c>
      <c r="AC121" s="14">
        <v>0</v>
      </c>
      <c r="AD121" s="892">
        <f t="shared" si="134"/>
        <v>80570</v>
      </c>
      <c r="AE121" s="702">
        <v>0</v>
      </c>
      <c r="AF121" s="702">
        <v>0</v>
      </c>
      <c r="AG121" s="491">
        <v>0</v>
      </c>
      <c r="AH121" s="491">
        <v>0.09</v>
      </c>
      <c r="AI121" s="491">
        <v>0</v>
      </c>
      <c r="AJ121" s="491">
        <v>0</v>
      </c>
      <c r="AK121" s="626">
        <f>SUM(AE121:AJ121)</f>
        <v>0.09</v>
      </c>
      <c r="AL121" s="696">
        <f>I121+AD121</f>
        <v>41408673</v>
      </c>
      <c r="AM121" s="492">
        <f>J121+U121</f>
        <v>30718600</v>
      </c>
      <c r="AN121" s="492">
        <f>Y121</f>
        <v>0</v>
      </c>
      <c r="AO121" s="492">
        <f t="shared" ref="AO121:AQ124" si="216">K121+AA121</f>
        <v>10382887</v>
      </c>
      <c r="AP121" s="492">
        <f t="shared" si="216"/>
        <v>307186</v>
      </c>
      <c r="AQ121" s="578">
        <f t="shared" si="216"/>
        <v>0</v>
      </c>
      <c r="AR121" s="626">
        <f>N121+AK121</f>
        <v>42.181000000000004</v>
      </c>
    </row>
    <row r="122" spans="1:44" ht="14.1" customHeight="1" x14ac:dyDescent="0.2">
      <c r="A122" s="499">
        <v>35</v>
      </c>
      <c r="B122" s="512">
        <v>2476</v>
      </c>
      <c r="C122" s="513">
        <v>600080170</v>
      </c>
      <c r="D122" s="512">
        <v>64040364</v>
      </c>
      <c r="E122" s="511" t="s">
        <v>586</v>
      </c>
      <c r="F122" s="499">
        <v>3113</v>
      </c>
      <c r="G122" s="511" t="s">
        <v>799</v>
      </c>
      <c r="H122" s="495" t="s">
        <v>262</v>
      </c>
      <c r="I122" s="627">
        <f t="shared" si="132"/>
        <v>692478</v>
      </c>
      <c r="J122" s="14">
        <v>513708</v>
      </c>
      <c r="K122" s="14">
        <v>173633</v>
      </c>
      <c r="L122" s="14">
        <v>5137</v>
      </c>
      <c r="M122" s="14">
        <v>0</v>
      </c>
      <c r="N122" s="121">
        <v>1</v>
      </c>
      <c r="O122" s="696">
        <f t="shared" si="133"/>
        <v>0</v>
      </c>
      <c r="P122" s="492">
        <v>0</v>
      </c>
      <c r="Q122" s="492">
        <v>0</v>
      </c>
      <c r="R122" s="492">
        <v>0</v>
      </c>
      <c r="S122" s="492">
        <v>0</v>
      </c>
      <c r="T122" s="492">
        <v>0</v>
      </c>
      <c r="U122" s="492">
        <f>O122+P122+Q122+R122+S122+T122</f>
        <v>0</v>
      </c>
      <c r="V122" s="492">
        <v>0</v>
      </c>
      <c r="W122" s="492">
        <v>0</v>
      </c>
      <c r="X122" s="492">
        <v>0</v>
      </c>
      <c r="Y122" s="492">
        <f t="shared" ref="Y122" si="217">V122+W122+X122</f>
        <v>0</v>
      </c>
      <c r="Z122" s="492">
        <f t="shared" ref="Z122" si="218">U122+Y122</f>
        <v>0</v>
      </c>
      <c r="AA122" s="494">
        <f t="shared" ref="AA122" si="219">ROUND((U122+Y122)*33.8%,0)</f>
        <v>0</v>
      </c>
      <c r="AB122" s="494">
        <f>ROUND(U122*1%,0)</f>
        <v>0</v>
      </c>
      <c r="AC122" s="14">
        <v>0</v>
      </c>
      <c r="AD122" s="892">
        <f t="shared" si="134"/>
        <v>0</v>
      </c>
      <c r="AE122" s="702">
        <v>0</v>
      </c>
      <c r="AF122" s="702">
        <v>0</v>
      </c>
      <c r="AG122" s="491">
        <v>0</v>
      </c>
      <c r="AH122" s="491">
        <v>0</v>
      </c>
      <c r="AI122" s="491">
        <v>0</v>
      </c>
      <c r="AJ122" s="491">
        <v>0</v>
      </c>
      <c r="AK122" s="626">
        <f>SUM(AE122:AJ122)</f>
        <v>0</v>
      </c>
      <c r="AL122" s="696">
        <f>I122+AD122</f>
        <v>692478</v>
      </c>
      <c r="AM122" s="492">
        <f>J122+U122</f>
        <v>513708</v>
      </c>
      <c r="AN122" s="492">
        <f>Y122</f>
        <v>0</v>
      </c>
      <c r="AO122" s="492">
        <f t="shared" si="216"/>
        <v>173633</v>
      </c>
      <c r="AP122" s="492">
        <f t="shared" si="216"/>
        <v>5137</v>
      </c>
      <c r="AQ122" s="578">
        <f t="shared" si="216"/>
        <v>0</v>
      </c>
      <c r="AR122" s="626">
        <f>N122+AK122</f>
        <v>1</v>
      </c>
    </row>
    <row r="123" spans="1:44" ht="14.1" customHeight="1" x14ac:dyDescent="0.2">
      <c r="A123" s="499">
        <v>35</v>
      </c>
      <c r="B123" s="512">
        <v>2476</v>
      </c>
      <c r="C123" s="513">
        <v>600080170</v>
      </c>
      <c r="D123" s="512">
        <v>64040364</v>
      </c>
      <c r="E123" s="511" t="s">
        <v>586</v>
      </c>
      <c r="F123" s="499">
        <v>3113</v>
      </c>
      <c r="G123" s="514" t="s">
        <v>278</v>
      </c>
      <c r="H123" s="495" t="s">
        <v>263</v>
      </c>
      <c r="I123" s="627">
        <f t="shared" si="132"/>
        <v>0</v>
      </c>
      <c r="J123" s="490">
        <v>0</v>
      </c>
      <c r="K123" s="14">
        <v>0</v>
      </c>
      <c r="L123" s="14">
        <v>0</v>
      </c>
      <c r="M123" s="14">
        <v>0</v>
      </c>
      <c r="N123" s="682">
        <v>0</v>
      </c>
      <c r="O123" s="696">
        <f t="shared" si="133"/>
        <v>0</v>
      </c>
      <c r="P123" s="490">
        <v>2261308</v>
      </c>
      <c r="Q123" s="492">
        <v>0</v>
      </c>
      <c r="R123" s="492">
        <v>0</v>
      </c>
      <c r="S123" s="492">
        <v>0</v>
      </c>
      <c r="T123" s="492">
        <v>0</v>
      </c>
      <c r="U123" s="492">
        <f>O123+P123+Q123+R123+S123+T123</f>
        <v>2261308</v>
      </c>
      <c r="V123" s="492">
        <v>0</v>
      </c>
      <c r="W123" s="492">
        <v>0</v>
      </c>
      <c r="X123" s="492">
        <v>0</v>
      </c>
      <c r="Y123" s="492">
        <f t="shared" si="213"/>
        <v>0</v>
      </c>
      <c r="Z123" s="492">
        <f t="shared" si="214"/>
        <v>2261308</v>
      </c>
      <c r="AA123" s="494">
        <f t="shared" si="215"/>
        <v>764322</v>
      </c>
      <c r="AB123" s="494">
        <f>ROUND(U123*1%,0)</f>
        <v>22613</v>
      </c>
      <c r="AC123" s="14">
        <v>0</v>
      </c>
      <c r="AD123" s="892">
        <f t="shared" si="134"/>
        <v>3048243</v>
      </c>
      <c r="AE123" s="702">
        <v>0</v>
      </c>
      <c r="AF123" s="121">
        <v>5.89</v>
      </c>
      <c r="AG123" s="491">
        <v>0</v>
      </c>
      <c r="AH123" s="491">
        <v>0</v>
      </c>
      <c r="AI123" s="491">
        <v>0</v>
      </c>
      <c r="AJ123" s="491">
        <v>0</v>
      </c>
      <c r="AK123" s="626">
        <f>SUM(AE123:AJ123)</f>
        <v>5.89</v>
      </c>
      <c r="AL123" s="696">
        <f>I123+AD123</f>
        <v>3048243</v>
      </c>
      <c r="AM123" s="492">
        <f>J123+U123</f>
        <v>2261308</v>
      </c>
      <c r="AN123" s="492">
        <f>Y123</f>
        <v>0</v>
      </c>
      <c r="AO123" s="492">
        <f t="shared" si="216"/>
        <v>764322</v>
      </c>
      <c r="AP123" s="492">
        <f t="shared" si="216"/>
        <v>22613</v>
      </c>
      <c r="AQ123" s="578">
        <f t="shared" si="216"/>
        <v>0</v>
      </c>
      <c r="AR123" s="626">
        <f>N123+AK123</f>
        <v>5.89</v>
      </c>
    </row>
    <row r="124" spans="1:44" ht="14.1" customHeight="1" x14ac:dyDescent="0.2">
      <c r="A124" s="499">
        <v>35</v>
      </c>
      <c r="B124" s="512">
        <v>2476</v>
      </c>
      <c r="C124" s="513">
        <v>600080170</v>
      </c>
      <c r="D124" s="512">
        <v>64040364</v>
      </c>
      <c r="E124" s="511" t="s">
        <v>586</v>
      </c>
      <c r="F124" s="499">
        <v>3143</v>
      </c>
      <c r="G124" s="514" t="s">
        <v>794</v>
      </c>
      <c r="H124" s="495" t="s">
        <v>262</v>
      </c>
      <c r="I124" s="627">
        <f t="shared" si="132"/>
        <v>4502396</v>
      </c>
      <c r="J124" s="14">
        <v>3340056</v>
      </c>
      <c r="K124" s="14">
        <v>1128939</v>
      </c>
      <c r="L124" s="14">
        <v>33401</v>
      </c>
      <c r="M124" s="14">
        <v>0</v>
      </c>
      <c r="N124" s="121">
        <v>6.07</v>
      </c>
      <c r="O124" s="696">
        <f t="shared" si="133"/>
        <v>0</v>
      </c>
      <c r="P124" s="492">
        <v>0</v>
      </c>
      <c r="Q124" s="492">
        <v>0</v>
      </c>
      <c r="R124" s="492">
        <v>0</v>
      </c>
      <c r="S124" s="492">
        <v>0</v>
      </c>
      <c r="T124" s="492">
        <v>0</v>
      </c>
      <c r="U124" s="492">
        <f>O124+P124+Q124+R124+S124+T124</f>
        <v>0</v>
      </c>
      <c r="V124" s="492">
        <v>0</v>
      </c>
      <c r="W124" s="492">
        <v>0</v>
      </c>
      <c r="X124" s="492">
        <v>0</v>
      </c>
      <c r="Y124" s="492">
        <f t="shared" si="213"/>
        <v>0</v>
      </c>
      <c r="Z124" s="492">
        <f t="shared" si="214"/>
        <v>0</v>
      </c>
      <c r="AA124" s="494">
        <f t="shared" si="215"/>
        <v>0</v>
      </c>
      <c r="AB124" s="494">
        <f>ROUND(U124*1%,0)</f>
        <v>0</v>
      </c>
      <c r="AC124" s="14">
        <v>0</v>
      </c>
      <c r="AD124" s="892">
        <f t="shared" si="134"/>
        <v>0</v>
      </c>
      <c r="AE124" s="702">
        <v>0</v>
      </c>
      <c r="AF124" s="702">
        <v>0</v>
      </c>
      <c r="AG124" s="491">
        <v>0</v>
      </c>
      <c r="AH124" s="491">
        <v>0</v>
      </c>
      <c r="AI124" s="491">
        <v>0</v>
      </c>
      <c r="AJ124" s="491">
        <v>0</v>
      </c>
      <c r="AK124" s="626">
        <f>SUM(AE124:AJ124)</f>
        <v>0</v>
      </c>
      <c r="AL124" s="696">
        <f>I124+AD124</f>
        <v>4502396</v>
      </c>
      <c r="AM124" s="492">
        <f>J124+U124</f>
        <v>3340056</v>
      </c>
      <c r="AN124" s="492">
        <f>Y124</f>
        <v>0</v>
      </c>
      <c r="AO124" s="492">
        <f t="shared" si="216"/>
        <v>1128939</v>
      </c>
      <c r="AP124" s="492">
        <f t="shared" si="216"/>
        <v>33401</v>
      </c>
      <c r="AQ124" s="578">
        <f t="shared" si="216"/>
        <v>0</v>
      </c>
      <c r="AR124" s="626">
        <f>N124+AK124</f>
        <v>6.07</v>
      </c>
    </row>
    <row r="125" spans="1:44" ht="14.1" customHeight="1" x14ac:dyDescent="0.2">
      <c r="A125" s="510">
        <v>35</v>
      </c>
      <c r="B125" s="508">
        <v>2476</v>
      </c>
      <c r="C125" s="509">
        <v>600080170</v>
      </c>
      <c r="D125" s="508">
        <v>64040364</v>
      </c>
      <c r="E125" s="506" t="s">
        <v>587</v>
      </c>
      <c r="F125" s="510"/>
      <c r="G125" s="506"/>
      <c r="H125" s="505"/>
      <c r="I125" s="629">
        <f t="shared" ref="I125:AR125" si="220">SUM(I121:I124)</f>
        <v>46522977</v>
      </c>
      <c r="J125" s="504">
        <f t="shared" si="220"/>
        <v>34512594</v>
      </c>
      <c r="K125" s="504">
        <f t="shared" si="220"/>
        <v>11665257</v>
      </c>
      <c r="L125" s="504">
        <f t="shared" si="220"/>
        <v>345126</v>
      </c>
      <c r="M125" s="504">
        <f t="shared" si="220"/>
        <v>0</v>
      </c>
      <c r="N125" s="885">
        <f t="shared" si="220"/>
        <v>49.161000000000001</v>
      </c>
      <c r="O125" s="629">
        <f t="shared" si="220"/>
        <v>0</v>
      </c>
      <c r="P125" s="503">
        <f t="shared" si="220"/>
        <v>2261308</v>
      </c>
      <c r="Q125" s="503">
        <f t="shared" si="220"/>
        <v>59770</v>
      </c>
      <c r="R125" s="503">
        <f t="shared" si="220"/>
        <v>0</v>
      </c>
      <c r="S125" s="503">
        <f t="shared" si="220"/>
        <v>0</v>
      </c>
      <c r="T125" s="503">
        <f t="shared" si="220"/>
        <v>0</v>
      </c>
      <c r="U125" s="503">
        <f t="shared" si="220"/>
        <v>2321078</v>
      </c>
      <c r="V125" s="503">
        <f t="shared" si="220"/>
        <v>0</v>
      </c>
      <c r="W125" s="503">
        <f t="shared" si="220"/>
        <v>0</v>
      </c>
      <c r="X125" s="503">
        <f t="shared" si="220"/>
        <v>0</v>
      </c>
      <c r="Y125" s="503">
        <f t="shared" si="220"/>
        <v>0</v>
      </c>
      <c r="Z125" s="503">
        <f t="shared" si="220"/>
        <v>2321078</v>
      </c>
      <c r="AA125" s="503">
        <f t="shared" si="220"/>
        <v>784524</v>
      </c>
      <c r="AB125" s="503">
        <f t="shared" si="220"/>
        <v>23211</v>
      </c>
      <c r="AC125" s="503">
        <f t="shared" si="220"/>
        <v>0</v>
      </c>
      <c r="AD125" s="891">
        <f t="shared" si="220"/>
        <v>3128813</v>
      </c>
      <c r="AE125" s="701">
        <f t="shared" si="220"/>
        <v>0</v>
      </c>
      <c r="AF125" s="701">
        <f t="shared" si="220"/>
        <v>5.89</v>
      </c>
      <c r="AG125" s="502">
        <f t="shared" si="220"/>
        <v>0</v>
      </c>
      <c r="AH125" s="502">
        <f t="shared" si="220"/>
        <v>0.09</v>
      </c>
      <c r="AI125" s="502">
        <f t="shared" si="220"/>
        <v>0</v>
      </c>
      <c r="AJ125" s="502">
        <f t="shared" si="220"/>
        <v>0</v>
      </c>
      <c r="AK125" s="630">
        <f t="shared" si="220"/>
        <v>5.9799999999999995</v>
      </c>
      <c r="AL125" s="629">
        <f t="shared" si="220"/>
        <v>49651790</v>
      </c>
      <c r="AM125" s="503">
        <f t="shared" si="220"/>
        <v>36833672</v>
      </c>
      <c r="AN125" s="552">
        <f t="shared" si="220"/>
        <v>0</v>
      </c>
      <c r="AO125" s="503">
        <f t="shared" si="220"/>
        <v>12449781</v>
      </c>
      <c r="AP125" s="503">
        <f t="shared" si="220"/>
        <v>368337</v>
      </c>
      <c r="AQ125" s="503">
        <f t="shared" si="220"/>
        <v>0</v>
      </c>
      <c r="AR125" s="630">
        <f t="shared" si="220"/>
        <v>55.141000000000005</v>
      </c>
    </row>
    <row r="126" spans="1:44" ht="14.1" customHeight="1" x14ac:dyDescent="0.2">
      <c r="A126" s="499">
        <v>36</v>
      </c>
      <c r="B126" s="512">
        <v>2477</v>
      </c>
      <c r="C126" s="513">
        <v>600079872</v>
      </c>
      <c r="D126" s="512">
        <v>68975147</v>
      </c>
      <c r="E126" s="511" t="s">
        <v>588</v>
      </c>
      <c r="F126" s="499">
        <v>3113</v>
      </c>
      <c r="G126" s="511" t="s">
        <v>280</v>
      </c>
      <c r="H126" s="495" t="s">
        <v>262</v>
      </c>
      <c r="I126" s="627">
        <f t="shared" si="132"/>
        <v>45554626</v>
      </c>
      <c r="J126" s="14">
        <v>33794232</v>
      </c>
      <c r="K126" s="14">
        <v>11422451</v>
      </c>
      <c r="L126" s="14">
        <v>337943</v>
      </c>
      <c r="M126" s="14">
        <v>0</v>
      </c>
      <c r="N126" s="121">
        <v>45.863300000000002</v>
      </c>
      <c r="O126" s="696">
        <f t="shared" si="133"/>
        <v>-10000</v>
      </c>
      <c r="P126" s="492">
        <v>0</v>
      </c>
      <c r="Q126" s="492">
        <v>97300</v>
      </c>
      <c r="R126" s="492">
        <v>0</v>
      </c>
      <c r="S126" s="492">
        <v>0</v>
      </c>
      <c r="T126" s="492">
        <v>0</v>
      </c>
      <c r="U126" s="492">
        <f>O126+P126+Q126+R126+S126+T126</f>
        <v>87300</v>
      </c>
      <c r="V126" s="492">
        <v>10000</v>
      </c>
      <c r="W126" s="492">
        <v>0</v>
      </c>
      <c r="X126" s="492">
        <v>0</v>
      </c>
      <c r="Y126" s="492">
        <f t="shared" ref="Y126:Y129" si="221">V126+W126+X126</f>
        <v>10000</v>
      </c>
      <c r="Z126" s="492">
        <f t="shared" ref="Z126:Z129" si="222">U126+Y126</f>
        <v>97300</v>
      </c>
      <c r="AA126" s="494">
        <f t="shared" ref="AA126:AA129" si="223">ROUND((U126+Y126)*33.8%,0)</f>
        <v>32887</v>
      </c>
      <c r="AB126" s="494">
        <f>ROUND(U126*1%,0)</f>
        <v>873</v>
      </c>
      <c r="AC126" s="14">
        <v>0</v>
      </c>
      <c r="AD126" s="892">
        <f t="shared" si="134"/>
        <v>131060</v>
      </c>
      <c r="AE126" s="702">
        <v>-0.01</v>
      </c>
      <c r="AF126" s="702">
        <v>0</v>
      </c>
      <c r="AG126" s="491">
        <v>0</v>
      </c>
      <c r="AH126" s="491">
        <v>0.14000000000000001</v>
      </c>
      <c r="AI126" s="491">
        <v>0</v>
      </c>
      <c r="AJ126" s="491">
        <v>0</v>
      </c>
      <c r="AK126" s="626">
        <f>SUM(AE126:AJ126)</f>
        <v>0.13</v>
      </c>
      <c r="AL126" s="696">
        <f>I126+AD126</f>
        <v>45685686</v>
      </c>
      <c r="AM126" s="492">
        <f>J126+U126</f>
        <v>33881532</v>
      </c>
      <c r="AN126" s="492">
        <f>Y126</f>
        <v>10000</v>
      </c>
      <c r="AO126" s="492">
        <f t="shared" ref="AO126:AQ129" si="224">K126+AA126</f>
        <v>11455338</v>
      </c>
      <c r="AP126" s="492">
        <f t="shared" si="224"/>
        <v>338816</v>
      </c>
      <c r="AQ126" s="578">
        <f t="shared" si="224"/>
        <v>0</v>
      </c>
      <c r="AR126" s="626">
        <f>N126+AK126</f>
        <v>45.993300000000005</v>
      </c>
    </row>
    <row r="127" spans="1:44" ht="14.1" customHeight="1" x14ac:dyDescent="0.2">
      <c r="A127" s="499">
        <v>36</v>
      </c>
      <c r="B127" s="512">
        <v>2477</v>
      </c>
      <c r="C127" s="513">
        <v>600079872</v>
      </c>
      <c r="D127" s="512">
        <v>68975147</v>
      </c>
      <c r="E127" s="511" t="s">
        <v>588</v>
      </c>
      <c r="F127" s="499">
        <v>3113</v>
      </c>
      <c r="G127" s="511" t="s">
        <v>799</v>
      </c>
      <c r="H127" s="495" t="s">
        <v>262</v>
      </c>
      <c r="I127" s="627">
        <f t="shared" si="132"/>
        <v>167871</v>
      </c>
      <c r="J127" s="14">
        <v>124534</v>
      </c>
      <c r="K127" s="14">
        <v>42092</v>
      </c>
      <c r="L127" s="14">
        <v>1245</v>
      </c>
      <c r="M127" s="14">
        <v>0</v>
      </c>
      <c r="N127" s="121">
        <v>0.2</v>
      </c>
      <c r="O127" s="696">
        <f t="shared" si="133"/>
        <v>0</v>
      </c>
      <c r="P127" s="492">
        <v>0</v>
      </c>
      <c r="Q127" s="492">
        <v>0</v>
      </c>
      <c r="R127" s="492">
        <v>165251</v>
      </c>
      <c r="S127" s="492">
        <v>0</v>
      </c>
      <c r="T127" s="492">
        <v>0</v>
      </c>
      <c r="U127" s="492">
        <f>O127+P127+Q127+R127+S127+T127</f>
        <v>165251</v>
      </c>
      <c r="V127" s="492">
        <v>0</v>
      </c>
      <c r="W127" s="492">
        <v>0</v>
      </c>
      <c r="X127" s="492">
        <v>0</v>
      </c>
      <c r="Y127" s="492">
        <f t="shared" ref="Y127" si="225">V127+W127+X127</f>
        <v>0</v>
      </c>
      <c r="Z127" s="492">
        <f t="shared" ref="Z127" si="226">U127+Y127</f>
        <v>165251</v>
      </c>
      <c r="AA127" s="494">
        <f t="shared" ref="AA127" si="227">ROUND((U127+Y127)*33.8%,0)</f>
        <v>55855</v>
      </c>
      <c r="AB127" s="494">
        <f>ROUND(U127*1%,0)</f>
        <v>1653</v>
      </c>
      <c r="AC127" s="14">
        <v>0</v>
      </c>
      <c r="AD127" s="892">
        <f t="shared" si="134"/>
        <v>222759</v>
      </c>
      <c r="AE127" s="702">
        <v>0</v>
      </c>
      <c r="AF127" s="702">
        <v>0</v>
      </c>
      <c r="AG127" s="491">
        <v>0.3</v>
      </c>
      <c r="AH127" s="491">
        <v>0</v>
      </c>
      <c r="AI127" s="491">
        <v>0</v>
      </c>
      <c r="AJ127" s="491">
        <v>0</v>
      </c>
      <c r="AK127" s="626">
        <f>SUM(AE127:AJ127)</f>
        <v>0.3</v>
      </c>
      <c r="AL127" s="696">
        <f>I127+AD127</f>
        <v>390630</v>
      </c>
      <c r="AM127" s="492">
        <f>J127+U127</f>
        <v>289785</v>
      </c>
      <c r="AN127" s="492">
        <f>Y127</f>
        <v>0</v>
      </c>
      <c r="AO127" s="492">
        <f t="shared" si="224"/>
        <v>97947</v>
      </c>
      <c r="AP127" s="492">
        <f t="shared" si="224"/>
        <v>2898</v>
      </c>
      <c r="AQ127" s="578">
        <f t="shared" si="224"/>
        <v>0</v>
      </c>
      <c r="AR127" s="626">
        <f>N127+AK127</f>
        <v>0.5</v>
      </c>
    </row>
    <row r="128" spans="1:44" ht="14.1" customHeight="1" x14ac:dyDescent="0.2">
      <c r="A128" s="499">
        <v>36</v>
      </c>
      <c r="B128" s="512">
        <v>2477</v>
      </c>
      <c r="C128" s="513">
        <v>600079872</v>
      </c>
      <c r="D128" s="512">
        <v>68975147</v>
      </c>
      <c r="E128" s="511" t="s">
        <v>588</v>
      </c>
      <c r="F128" s="499">
        <v>3113</v>
      </c>
      <c r="G128" s="514" t="s">
        <v>278</v>
      </c>
      <c r="H128" s="495" t="s">
        <v>263</v>
      </c>
      <c r="I128" s="627">
        <f t="shared" si="132"/>
        <v>0</v>
      </c>
      <c r="J128" s="490">
        <v>0</v>
      </c>
      <c r="K128" s="14">
        <v>0</v>
      </c>
      <c r="L128" s="14">
        <v>0</v>
      </c>
      <c r="M128" s="14">
        <v>0</v>
      </c>
      <c r="N128" s="682">
        <v>0</v>
      </c>
      <c r="O128" s="696">
        <f t="shared" si="133"/>
        <v>-10000</v>
      </c>
      <c r="P128" s="490">
        <v>2979183</v>
      </c>
      <c r="Q128" s="492">
        <v>0</v>
      </c>
      <c r="R128" s="492">
        <v>0</v>
      </c>
      <c r="S128" s="492">
        <v>0</v>
      </c>
      <c r="T128" s="492">
        <v>0</v>
      </c>
      <c r="U128" s="492">
        <f>O128+P128+Q128+R128+S128+T128</f>
        <v>2969183</v>
      </c>
      <c r="V128" s="492">
        <v>10000</v>
      </c>
      <c r="W128" s="492">
        <v>0</v>
      </c>
      <c r="X128" s="492">
        <v>0</v>
      </c>
      <c r="Y128" s="492">
        <f t="shared" si="221"/>
        <v>10000</v>
      </c>
      <c r="Z128" s="492">
        <f t="shared" si="222"/>
        <v>2979183</v>
      </c>
      <c r="AA128" s="494">
        <f t="shared" si="223"/>
        <v>1006964</v>
      </c>
      <c r="AB128" s="494">
        <f>ROUND(U128*1%,0)</f>
        <v>29692</v>
      </c>
      <c r="AC128" s="14">
        <v>0</v>
      </c>
      <c r="AD128" s="892">
        <f t="shared" si="134"/>
        <v>4015839</v>
      </c>
      <c r="AE128" s="702">
        <v>0</v>
      </c>
      <c r="AF128" s="121">
        <v>7.21</v>
      </c>
      <c r="AG128" s="491">
        <v>0</v>
      </c>
      <c r="AH128" s="491">
        <v>0</v>
      </c>
      <c r="AI128" s="491">
        <v>0</v>
      </c>
      <c r="AJ128" s="491">
        <v>0</v>
      </c>
      <c r="AK128" s="626">
        <f>SUM(AE128:AJ128)</f>
        <v>7.21</v>
      </c>
      <c r="AL128" s="696">
        <f>I128+AD128</f>
        <v>4015839</v>
      </c>
      <c r="AM128" s="492">
        <f>J128+U128</f>
        <v>2969183</v>
      </c>
      <c r="AN128" s="492">
        <f>Y128</f>
        <v>10000</v>
      </c>
      <c r="AO128" s="492">
        <f t="shared" si="224"/>
        <v>1006964</v>
      </c>
      <c r="AP128" s="492">
        <f t="shared" si="224"/>
        <v>29692</v>
      </c>
      <c r="AQ128" s="578">
        <f t="shared" si="224"/>
        <v>0</v>
      </c>
      <c r="AR128" s="626">
        <f>N128+AK128</f>
        <v>7.21</v>
      </c>
    </row>
    <row r="129" spans="1:44" ht="14.1" customHeight="1" x14ac:dyDescent="0.2">
      <c r="A129" s="499">
        <v>36</v>
      </c>
      <c r="B129" s="512">
        <v>2477</v>
      </c>
      <c r="C129" s="513">
        <v>600079872</v>
      </c>
      <c r="D129" s="512">
        <v>68975147</v>
      </c>
      <c r="E129" s="511" t="s">
        <v>588</v>
      </c>
      <c r="F129" s="499">
        <v>3143</v>
      </c>
      <c r="G129" s="514" t="s">
        <v>794</v>
      </c>
      <c r="H129" s="495" t="s">
        <v>262</v>
      </c>
      <c r="I129" s="627">
        <f t="shared" si="132"/>
        <v>4691467</v>
      </c>
      <c r="J129" s="14">
        <v>3480317</v>
      </c>
      <c r="K129" s="14">
        <v>1176347</v>
      </c>
      <c r="L129" s="14">
        <v>34803</v>
      </c>
      <c r="M129" s="14">
        <v>0</v>
      </c>
      <c r="N129" s="121">
        <v>6.1570999999999998</v>
      </c>
      <c r="O129" s="696">
        <f t="shared" si="133"/>
        <v>-10000</v>
      </c>
      <c r="P129" s="492">
        <v>0</v>
      </c>
      <c r="Q129" s="492">
        <v>0</v>
      </c>
      <c r="R129" s="492">
        <v>0</v>
      </c>
      <c r="S129" s="492">
        <v>0</v>
      </c>
      <c r="T129" s="492">
        <v>0</v>
      </c>
      <c r="U129" s="492">
        <f>O129+P129+Q129+R129+S129+T129</f>
        <v>-10000</v>
      </c>
      <c r="V129" s="492">
        <v>10000</v>
      </c>
      <c r="W129" s="492">
        <v>0</v>
      </c>
      <c r="X129" s="492">
        <v>0</v>
      </c>
      <c r="Y129" s="492">
        <f t="shared" si="221"/>
        <v>10000</v>
      </c>
      <c r="Z129" s="492">
        <f t="shared" si="222"/>
        <v>0</v>
      </c>
      <c r="AA129" s="494">
        <f t="shared" si="223"/>
        <v>0</v>
      </c>
      <c r="AB129" s="494">
        <f>ROUND(U129*1%,0)</f>
        <v>-100</v>
      </c>
      <c r="AC129" s="14">
        <v>0</v>
      </c>
      <c r="AD129" s="892">
        <f t="shared" si="134"/>
        <v>-100</v>
      </c>
      <c r="AE129" s="702">
        <v>-0.01</v>
      </c>
      <c r="AF129" s="702">
        <v>0</v>
      </c>
      <c r="AG129" s="491">
        <v>0</v>
      </c>
      <c r="AH129" s="491">
        <v>0</v>
      </c>
      <c r="AI129" s="491">
        <v>0</v>
      </c>
      <c r="AJ129" s="491">
        <v>0</v>
      </c>
      <c r="AK129" s="626">
        <f>SUM(AE129:AJ129)</f>
        <v>-0.01</v>
      </c>
      <c r="AL129" s="696">
        <f>I129+AD129</f>
        <v>4691367</v>
      </c>
      <c r="AM129" s="492">
        <f>J129+U129</f>
        <v>3470317</v>
      </c>
      <c r="AN129" s="492">
        <f>Y129</f>
        <v>10000</v>
      </c>
      <c r="AO129" s="492">
        <f t="shared" si="224"/>
        <v>1176347</v>
      </c>
      <c r="AP129" s="492">
        <f t="shared" si="224"/>
        <v>34703</v>
      </c>
      <c r="AQ129" s="578">
        <f t="shared" si="224"/>
        <v>0</v>
      </c>
      <c r="AR129" s="626">
        <f>N129+AK129</f>
        <v>6.1471</v>
      </c>
    </row>
    <row r="130" spans="1:44" ht="14.1" customHeight="1" x14ac:dyDescent="0.2">
      <c r="A130" s="510">
        <v>36</v>
      </c>
      <c r="B130" s="508">
        <v>2477</v>
      </c>
      <c r="C130" s="509">
        <v>600079872</v>
      </c>
      <c r="D130" s="508">
        <v>68975147</v>
      </c>
      <c r="E130" s="506" t="s">
        <v>589</v>
      </c>
      <c r="F130" s="510"/>
      <c r="G130" s="506"/>
      <c r="H130" s="505"/>
      <c r="I130" s="629">
        <f t="shared" ref="I130:AR130" si="228">SUM(I126:I129)</f>
        <v>50413964</v>
      </c>
      <c r="J130" s="504">
        <f t="shared" si="228"/>
        <v>37399083</v>
      </c>
      <c r="K130" s="504">
        <f t="shared" si="228"/>
        <v>12640890</v>
      </c>
      <c r="L130" s="504">
        <f t="shared" si="228"/>
        <v>373991</v>
      </c>
      <c r="M130" s="504">
        <f t="shared" si="228"/>
        <v>0</v>
      </c>
      <c r="N130" s="885">
        <f t="shared" si="228"/>
        <v>52.220400000000005</v>
      </c>
      <c r="O130" s="629">
        <f t="shared" si="228"/>
        <v>-30000</v>
      </c>
      <c r="P130" s="503">
        <f t="shared" si="228"/>
        <v>2979183</v>
      </c>
      <c r="Q130" s="503">
        <f t="shared" si="228"/>
        <v>97300</v>
      </c>
      <c r="R130" s="503">
        <f t="shared" si="228"/>
        <v>165251</v>
      </c>
      <c r="S130" s="503">
        <f t="shared" si="228"/>
        <v>0</v>
      </c>
      <c r="T130" s="503">
        <f t="shared" si="228"/>
        <v>0</v>
      </c>
      <c r="U130" s="503">
        <f t="shared" si="228"/>
        <v>3211734</v>
      </c>
      <c r="V130" s="503">
        <f t="shared" si="228"/>
        <v>30000</v>
      </c>
      <c r="W130" s="503">
        <f t="shared" si="228"/>
        <v>0</v>
      </c>
      <c r="X130" s="503">
        <f t="shared" si="228"/>
        <v>0</v>
      </c>
      <c r="Y130" s="503">
        <f t="shared" si="228"/>
        <v>30000</v>
      </c>
      <c r="Z130" s="503">
        <f t="shared" si="228"/>
        <v>3241734</v>
      </c>
      <c r="AA130" s="503">
        <f t="shared" si="228"/>
        <v>1095706</v>
      </c>
      <c r="AB130" s="503">
        <f t="shared" si="228"/>
        <v>32118</v>
      </c>
      <c r="AC130" s="503">
        <f t="shared" si="228"/>
        <v>0</v>
      </c>
      <c r="AD130" s="891">
        <f t="shared" si="228"/>
        <v>4369558</v>
      </c>
      <c r="AE130" s="701">
        <f t="shared" si="228"/>
        <v>-0.02</v>
      </c>
      <c r="AF130" s="701">
        <f t="shared" si="228"/>
        <v>7.21</v>
      </c>
      <c r="AG130" s="502">
        <f t="shared" si="228"/>
        <v>0.3</v>
      </c>
      <c r="AH130" s="502">
        <f t="shared" si="228"/>
        <v>0.14000000000000001</v>
      </c>
      <c r="AI130" s="502">
        <f t="shared" si="228"/>
        <v>0</v>
      </c>
      <c r="AJ130" s="502">
        <f t="shared" si="228"/>
        <v>0</v>
      </c>
      <c r="AK130" s="630">
        <f t="shared" si="228"/>
        <v>7.63</v>
      </c>
      <c r="AL130" s="629">
        <f t="shared" si="228"/>
        <v>54783522</v>
      </c>
      <c r="AM130" s="503">
        <f t="shared" si="228"/>
        <v>40610817</v>
      </c>
      <c r="AN130" s="552">
        <f t="shared" si="228"/>
        <v>30000</v>
      </c>
      <c r="AO130" s="503">
        <f t="shared" si="228"/>
        <v>13736596</v>
      </c>
      <c r="AP130" s="503">
        <f t="shared" si="228"/>
        <v>406109</v>
      </c>
      <c r="AQ130" s="503">
        <f t="shared" si="228"/>
        <v>0</v>
      </c>
      <c r="AR130" s="630">
        <f t="shared" si="228"/>
        <v>59.850400000000008</v>
      </c>
    </row>
    <row r="131" spans="1:44" ht="14.1" customHeight="1" x14ac:dyDescent="0.2">
      <c r="A131" s="499">
        <v>37</v>
      </c>
      <c r="B131" s="512">
        <v>2470</v>
      </c>
      <c r="C131" s="513">
        <v>600080013</v>
      </c>
      <c r="D131" s="512">
        <v>72741554</v>
      </c>
      <c r="E131" s="511" t="s">
        <v>590</v>
      </c>
      <c r="F131" s="499">
        <v>3113</v>
      </c>
      <c r="G131" s="511" t="s">
        <v>280</v>
      </c>
      <c r="H131" s="495" t="s">
        <v>262</v>
      </c>
      <c r="I131" s="627">
        <f t="shared" si="132"/>
        <v>39843242</v>
      </c>
      <c r="J131" s="14">
        <v>29557302</v>
      </c>
      <c r="K131" s="14">
        <v>9990367</v>
      </c>
      <c r="L131" s="14">
        <v>295573</v>
      </c>
      <c r="M131" s="14">
        <v>0</v>
      </c>
      <c r="N131" s="121">
        <v>35.485199999999999</v>
      </c>
      <c r="O131" s="696">
        <f t="shared" si="133"/>
        <v>-120000</v>
      </c>
      <c r="P131" s="492">
        <v>0</v>
      </c>
      <c r="Q131" s="492">
        <v>63940</v>
      </c>
      <c r="R131" s="492">
        <v>0</v>
      </c>
      <c r="S131" s="492">
        <v>0</v>
      </c>
      <c r="T131" s="492">
        <v>0</v>
      </c>
      <c r="U131" s="492">
        <f>O131+P131+Q131+R131+S131+T131</f>
        <v>-56060</v>
      </c>
      <c r="V131" s="492">
        <v>120000</v>
      </c>
      <c r="W131" s="492">
        <v>0</v>
      </c>
      <c r="X131" s="492">
        <v>0</v>
      </c>
      <c r="Y131" s="492">
        <f t="shared" ref="Y131:Y134" si="229">V131+W131+X131</f>
        <v>120000</v>
      </c>
      <c r="Z131" s="492">
        <f t="shared" ref="Z131:Z134" si="230">U131+Y131</f>
        <v>63940</v>
      </c>
      <c r="AA131" s="494">
        <f t="shared" ref="AA131:AA134" si="231">ROUND((U131+Y131)*33.8%,0)</f>
        <v>21612</v>
      </c>
      <c r="AB131" s="494">
        <f>ROUND(U131*1%,0)</f>
        <v>-561</v>
      </c>
      <c r="AC131" s="14">
        <v>0</v>
      </c>
      <c r="AD131" s="892">
        <f t="shared" si="134"/>
        <v>84991</v>
      </c>
      <c r="AE131" s="702">
        <v>-0.14000000000000001</v>
      </c>
      <c r="AF131" s="702">
        <v>0</v>
      </c>
      <c r="AG131" s="491">
        <v>0</v>
      </c>
      <c r="AH131" s="491">
        <v>0.09</v>
      </c>
      <c r="AI131" s="491">
        <v>0</v>
      </c>
      <c r="AJ131" s="491">
        <v>0</v>
      </c>
      <c r="AK131" s="626">
        <f>SUM(AE131:AJ131)</f>
        <v>-5.0000000000000017E-2</v>
      </c>
      <c r="AL131" s="696">
        <f>I131+AD131</f>
        <v>39928233</v>
      </c>
      <c r="AM131" s="492">
        <f>J131+U131</f>
        <v>29501242</v>
      </c>
      <c r="AN131" s="492">
        <f>Y131</f>
        <v>120000</v>
      </c>
      <c r="AO131" s="492">
        <f t="shared" ref="AO131:AQ134" si="232">K131+AA131</f>
        <v>10011979</v>
      </c>
      <c r="AP131" s="492">
        <f t="shared" si="232"/>
        <v>295012</v>
      </c>
      <c r="AQ131" s="578">
        <f t="shared" si="232"/>
        <v>0</v>
      </c>
      <c r="AR131" s="626">
        <f>N131+AK131</f>
        <v>35.435200000000002</v>
      </c>
    </row>
    <row r="132" spans="1:44" ht="14.1" customHeight="1" x14ac:dyDescent="0.2">
      <c r="A132" s="499">
        <v>37</v>
      </c>
      <c r="B132" s="512">
        <v>2470</v>
      </c>
      <c r="C132" s="513">
        <v>600080013</v>
      </c>
      <c r="D132" s="512">
        <v>72741554</v>
      </c>
      <c r="E132" s="511" t="s">
        <v>590</v>
      </c>
      <c r="F132" s="499">
        <v>3113</v>
      </c>
      <c r="G132" s="511" t="s">
        <v>799</v>
      </c>
      <c r="H132" s="495" t="s">
        <v>262</v>
      </c>
      <c r="I132" s="627">
        <f t="shared" si="132"/>
        <v>761065</v>
      </c>
      <c r="J132" s="14">
        <v>564588</v>
      </c>
      <c r="K132" s="14">
        <v>190831</v>
      </c>
      <c r="L132" s="14">
        <v>5646</v>
      </c>
      <c r="M132" s="14">
        <v>0</v>
      </c>
      <c r="N132" s="121">
        <v>1</v>
      </c>
      <c r="O132" s="696">
        <f t="shared" si="133"/>
        <v>0</v>
      </c>
      <c r="P132" s="492">
        <v>0</v>
      </c>
      <c r="Q132" s="492">
        <v>0</v>
      </c>
      <c r="R132" s="492">
        <v>0</v>
      </c>
      <c r="S132" s="492">
        <v>0</v>
      </c>
      <c r="T132" s="492">
        <v>0</v>
      </c>
      <c r="U132" s="492">
        <f>O132+P132+Q132+R132+S132+T132</f>
        <v>0</v>
      </c>
      <c r="V132" s="492">
        <v>0</v>
      </c>
      <c r="W132" s="492">
        <v>0</v>
      </c>
      <c r="X132" s="492">
        <v>0</v>
      </c>
      <c r="Y132" s="492">
        <f t="shared" ref="Y132" si="233">V132+W132+X132</f>
        <v>0</v>
      </c>
      <c r="Z132" s="492">
        <f t="shared" ref="Z132" si="234">U132+Y132</f>
        <v>0</v>
      </c>
      <c r="AA132" s="494">
        <f t="shared" ref="AA132" si="235">ROUND((U132+Y132)*33.8%,0)</f>
        <v>0</v>
      </c>
      <c r="AB132" s="494">
        <f>ROUND(U132*1%,0)</f>
        <v>0</v>
      </c>
      <c r="AC132" s="14">
        <v>0</v>
      </c>
      <c r="AD132" s="892">
        <f t="shared" si="134"/>
        <v>0</v>
      </c>
      <c r="AE132" s="702">
        <v>0</v>
      </c>
      <c r="AF132" s="702">
        <v>0</v>
      </c>
      <c r="AG132" s="491">
        <v>0</v>
      </c>
      <c r="AH132" s="491">
        <v>0</v>
      </c>
      <c r="AI132" s="491">
        <v>0</v>
      </c>
      <c r="AJ132" s="491">
        <v>0</v>
      </c>
      <c r="AK132" s="626">
        <f>SUM(AE132:AJ132)</f>
        <v>0</v>
      </c>
      <c r="AL132" s="696">
        <f>I132+AD132</f>
        <v>761065</v>
      </c>
      <c r="AM132" s="492">
        <f>J132+U132</f>
        <v>564588</v>
      </c>
      <c r="AN132" s="492">
        <f>Y132</f>
        <v>0</v>
      </c>
      <c r="AO132" s="492">
        <f t="shared" si="232"/>
        <v>190831</v>
      </c>
      <c r="AP132" s="492">
        <f t="shared" si="232"/>
        <v>5646</v>
      </c>
      <c r="AQ132" s="578">
        <f t="shared" si="232"/>
        <v>0</v>
      </c>
      <c r="AR132" s="626">
        <f>N132+AK132</f>
        <v>1</v>
      </c>
    </row>
    <row r="133" spans="1:44" ht="14.1" customHeight="1" x14ac:dyDescent="0.2">
      <c r="A133" s="499">
        <v>37</v>
      </c>
      <c r="B133" s="512">
        <v>2470</v>
      </c>
      <c r="C133" s="513">
        <v>600080013</v>
      </c>
      <c r="D133" s="512">
        <v>72741554</v>
      </c>
      <c r="E133" s="511" t="s">
        <v>590</v>
      </c>
      <c r="F133" s="499">
        <v>3113</v>
      </c>
      <c r="G133" s="514" t="s">
        <v>278</v>
      </c>
      <c r="H133" s="495" t="s">
        <v>263</v>
      </c>
      <c r="I133" s="627">
        <f t="shared" si="132"/>
        <v>0</v>
      </c>
      <c r="J133" s="490">
        <v>0</v>
      </c>
      <c r="K133" s="14">
        <v>0</v>
      </c>
      <c r="L133" s="14">
        <v>0</v>
      </c>
      <c r="M133" s="14">
        <v>0</v>
      </c>
      <c r="N133" s="682">
        <v>0</v>
      </c>
      <c r="O133" s="696">
        <f t="shared" si="133"/>
        <v>0</v>
      </c>
      <c r="P133" s="490">
        <v>2173126</v>
      </c>
      <c r="Q133" s="492">
        <v>0</v>
      </c>
      <c r="R133" s="492">
        <v>0</v>
      </c>
      <c r="S133" s="492">
        <v>0</v>
      </c>
      <c r="T133" s="492">
        <v>0</v>
      </c>
      <c r="U133" s="492">
        <f>O133+P133+Q133+R133+S133+T133</f>
        <v>2173126</v>
      </c>
      <c r="V133" s="492">
        <v>0</v>
      </c>
      <c r="W133" s="492">
        <v>0</v>
      </c>
      <c r="X133" s="492">
        <v>0</v>
      </c>
      <c r="Y133" s="492">
        <f t="shared" si="229"/>
        <v>0</v>
      </c>
      <c r="Z133" s="492">
        <f t="shared" si="230"/>
        <v>2173126</v>
      </c>
      <c r="AA133" s="494">
        <f t="shared" si="231"/>
        <v>734517</v>
      </c>
      <c r="AB133" s="494">
        <f>ROUND(U133*1%,0)</f>
        <v>21731</v>
      </c>
      <c r="AC133" s="14">
        <v>0</v>
      </c>
      <c r="AD133" s="892">
        <f t="shared" si="134"/>
        <v>2929374</v>
      </c>
      <c r="AE133" s="702">
        <v>0</v>
      </c>
      <c r="AF133" s="121">
        <v>5.67</v>
      </c>
      <c r="AG133" s="491">
        <v>0</v>
      </c>
      <c r="AH133" s="491">
        <v>0</v>
      </c>
      <c r="AI133" s="491">
        <v>0</v>
      </c>
      <c r="AJ133" s="491">
        <v>0</v>
      </c>
      <c r="AK133" s="626">
        <f>SUM(AE133:AJ133)</f>
        <v>5.67</v>
      </c>
      <c r="AL133" s="696">
        <f>I133+AD133</f>
        <v>2929374</v>
      </c>
      <c r="AM133" s="492">
        <f>J133+U133</f>
        <v>2173126</v>
      </c>
      <c r="AN133" s="492">
        <f>Y133</f>
        <v>0</v>
      </c>
      <c r="AO133" s="492">
        <f t="shared" si="232"/>
        <v>734517</v>
      </c>
      <c r="AP133" s="492">
        <f t="shared" si="232"/>
        <v>21731</v>
      </c>
      <c r="AQ133" s="578">
        <f t="shared" si="232"/>
        <v>0</v>
      </c>
      <c r="AR133" s="626">
        <f>N133+AK133</f>
        <v>5.67</v>
      </c>
    </row>
    <row r="134" spans="1:44" ht="14.1" customHeight="1" x14ac:dyDescent="0.2">
      <c r="A134" s="499">
        <v>37</v>
      </c>
      <c r="B134" s="512">
        <v>2470</v>
      </c>
      <c r="C134" s="513">
        <v>600080013</v>
      </c>
      <c r="D134" s="512">
        <v>72741554</v>
      </c>
      <c r="E134" s="511" t="s">
        <v>590</v>
      </c>
      <c r="F134" s="499">
        <v>3143</v>
      </c>
      <c r="G134" s="514" t="s">
        <v>795</v>
      </c>
      <c r="H134" s="495" t="s">
        <v>262</v>
      </c>
      <c r="I134" s="627">
        <f t="shared" si="132"/>
        <v>7047510</v>
      </c>
      <c r="J134" s="14">
        <v>5228123</v>
      </c>
      <c r="K134" s="14">
        <v>1767106</v>
      </c>
      <c r="L134" s="14">
        <v>52281</v>
      </c>
      <c r="M134" s="14">
        <v>0</v>
      </c>
      <c r="N134" s="121">
        <v>9.9040999999999997</v>
      </c>
      <c r="O134" s="696">
        <f t="shared" si="133"/>
        <v>-80000</v>
      </c>
      <c r="P134" s="492">
        <v>0</v>
      </c>
      <c r="Q134" s="492">
        <v>0</v>
      </c>
      <c r="R134" s="492">
        <v>0</v>
      </c>
      <c r="S134" s="492">
        <v>0</v>
      </c>
      <c r="T134" s="492">
        <v>0</v>
      </c>
      <c r="U134" s="492">
        <f>O134+P134+Q134+R134+S134+T134</f>
        <v>-80000</v>
      </c>
      <c r="V134" s="492">
        <v>80000</v>
      </c>
      <c r="W134" s="492">
        <v>0</v>
      </c>
      <c r="X134" s="492">
        <v>0</v>
      </c>
      <c r="Y134" s="492">
        <f t="shared" si="229"/>
        <v>80000</v>
      </c>
      <c r="Z134" s="492">
        <f t="shared" si="230"/>
        <v>0</v>
      </c>
      <c r="AA134" s="494">
        <f t="shared" si="231"/>
        <v>0</v>
      </c>
      <c r="AB134" s="494">
        <f>ROUND(U134*1%,0)</f>
        <v>-800</v>
      </c>
      <c r="AC134" s="14">
        <v>0</v>
      </c>
      <c r="AD134" s="892">
        <f t="shared" si="134"/>
        <v>-800</v>
      </c>
      <c r="AE134" s="702">
        <v>-0.15</v>
      </c>
      <c r="AF134" s="702">
        <v>0</v>
      </c>
      <c r="AG134" s="491">
        <v>0</v>
      </c>
      <c r="AH134" s="491">
        <v>0</v>
      </c>
      <c r="AI134" s="491">
        <v>0</v>
      </c>
      <c r="AJ134" s="491">
        <v>0</v>
      </c>
      <c r="AK134" s="626">
        <f>SUM(AE134:AJ134)</f>
        <v>-0.15</v>
      </c>
      <c r="AL134" s="696">
        <f>I134+AD134</f>
        <v>7046710</v>
      </c>
      <c r="AM134" s="492">
        <f>J134+U134</f>
        <v>5148123</v>
      </c>
      <c r="AN134" s="492">
        <f>Y134</f>
        <v>80000</v>
      </c>
      <c r="AO134" s="492">
        <f t="shared" si="232"/>
        <v>1767106</v>
      </c>
      <c r="AP134" s="492">
        <f t="shared" si="232"/>
        <v>51481</v>
      </c>
      <c r="AQ134" s="578">
        <f t="shared" si="232"/>
        <v>0</v>
      </c>
      <c r="AR134" s="626">
        <f>N134+AK134</f>
        <v>9.7540999999999993</v>
      </c>
    </row>
    <row r="135" spans="1:44" ht="14.1" customHeight="1" x14ac:dyDescent="0.2">
      <c r="A135" s="510">
        <v>37</v>
      </c>
      <c r="B135" s="508">
        <v>2470</v>
      </c>
      <c r="C135" s="509">
        <v>600080013</v>
      </c>
      <c r="D135" s="508">
        <v>72741554</v>
      </c>
      <c r="E135" s="506" t="s">
        <v>591</v>
      </c>
      <c r="F135" s="510"/>
      <c r="G135" s="506"/>
      <c r="H135" s="505"/>
      <c r="I135" s="629">
        <f t="shared" ref="I135:AR135" si="236">SUM(I131:I134)</f>
        <v>47651817</v>
      </c>
      <c r="J135" s="504">
        <f t="shared" si="236"/>
        <v>35350013</v>
      </c>
      <c r="K135" s="504">
        <f t="shared" si="236"/>
        <v>11948304</v>
      </c>
      <c r="L135" s="504">
        <f t="shared" si="236"/>
        <v>353500</v>
      </c>
      <c r="M135" s="504">
        <f t="shared" si="236"/>
        <v>0</v>
      </c>
      <c r="N135" s="885">
        <f t="shared" si="236"/>
        <v>46.389299999999999</v>
      </c>
      <c r="O135" s="629">
        <f t="shared" si="236"/>
        <v>-200000</v>
      </c>
      <c r="P135" s="503">
        <f t="shared" si="236"/>
        <v>2173126</v>
      </c>
      <c r="Q135" s="503">
        <f t="shared" si="236"/>
        <v>63940</v>
      </c>
      <c r="R135" s="503">
        <f t="shared" si="236"/>
        <v>0</v>
      </c>
      <c r="S135" s="503">
        <f t="shared" si="236"/>
        <v>0</v>
      </c>
      <c r="T135" s="503">
        <f t="shared" si="236"/>
        <v>0</v>
      </c>
      <c r="U135" s="503">
        <f t="shared" si="236"/>
        <v>2037066</v>
      </c>
      <c r="V135" s="503">
        <f t="shared" si="236"/>
        <v>200000</v>
      </c>
      <c r="W135" s="503">
        <f t="shared" si="236"/>
        <v>0</v>
      </c>
      <c r="X135" s="503">
        <f t="shared" si="236"/>
        <v>0</v>
      </c>
      <c r="Y135" s="503">
        <f t="shared" si="236"/>
        <v>200000</v>
      </c>
      <c r="Z135" s="503">
        <f t="shared" si="236"/>
        <v>2237066</v>
      </c>
      <c r="AA135" s="503">
        <f t="shared" si="236"/>
        <v>756129</v>
      </c>
      <c r="AB135" s="503">
        <f t="shared" si="236"/>
        <v>20370</v>
      </c>
      <c r="AC135" s="503">
        <f t="shared" si="236"/>
        <v>0</v>
      </c>
      <c r="AD135" s="891">
        <f t="shared" si="236"/>
        <v>3013565</v>
      </c>
      <c r="AE135" s="701">
        <f t="shared" si="236"/>
        <v>-0.29000000000000004</v>
      </c>
      <c r="AF135" s="701">
        <f t="shared" si="236"/>
        <v>5.67</v>
      </c>
      <c r="AG135" s="502">
        <f t="shared" si="236"/>
        <v>0</v>
      </c>
      <c r="AH135" s="502">
        <f t="shared" si="236"/>
        <v>0.09</v>
      </c>
      <c r="AI135" s="502">
        <f t="shared" si="236"/>
        <v>0</v>
      </c>
      <c r="AJ135" s="502">
        <f t="shared" si="236"/>
        <v>0</v>
      </c>
      <c r="AK135" s="630">
        <f t="shared" si="236"/>
        <v>5.47</v>
      </c>
      <c r="AL135" s="629">
        <f t="shared" si="236"/>
        <v>50665382</v>
      </c>
      <c r="AM135" s="503">
        <f t="shared" si="236"/>
        <v>37387079</v>
      </c>
      <c r="AN135" s="552">
        <f t="shared" si="236"/>
        <v>200000</v>
      </c>
      <c r="AO135" s="503">
        <f t="shared" si="236"/>
        <v>12704433</v>
      </c>
      <c r="AP135" s="503">
        <f t="shared" si="236"/>
        <v>373870</v>
      </c>
      <c r="AQ135" s="503">
        <f t="shared" si="236"/>
        <v>0</v>
      </c>
      <c r="AR135" s="630">
        <f t="shared" si="236"/>
        <v>51.859300000000005</v>
      </c>
    </row>
    <row r="136" spans="1:44" ht="14.1" customHeight="1" x14ac:dyDescent="0.2">
      <c r="A136" s="499">
        <v>38</v>
      </c>
      <c r="B136" s="512">
        <v>2307</v>
      </c>
      <c r="C136" s="513">
        <v>600079911</v>
      </c>
      <c r="D136" s="512">
        <v>72743212</v>
      </c>
      <c r="E136" s="511" t="s">
        <v>592</v>
      </c>
      <c r="F136" s="499">
        <v>3113</v>
      </c>
      <c r="G136" s="511" t="s">
        <v>280</v>
      </c>
      <c r="H136" s="495" t="s">
        <v>262</v>
      </c>
      <c r="I136" s="627">
        <f t="shared" si="132"/>
        <v>41045927</v>
      </c>
      <c r="J136" s="14">
        <v>30449501</v>
      </c>
      <c r="K136" s="14">
        <v>10291931</v>
      </c>
      <c r="L136" s="14">
        <v>304495</v>
      </c>
      <c r="M136" s="14">
        <v>0</v>
      </c>
      <c r="N136" s="121">
        <v>40.4998</v>
      </c>
      <c r="O136" s="696">
        <f t="shared" si="133"/>
        <v>-50000</v>
      </c>
      <c r="P136" s="492">
        <v>0</v>
      </c>
      <c r="Q136" s="492">
        <v>0</v>
      </c>
      <c r="R136" s="492">
        <v>0</v>
      </c>
      <c r="S136" s="492">
        <v>0</v>
      </c>
      <c r="T136" s="492">
        <v>0</v>
      </c>
      <c r="U136" s="492">
        <f>O136+P136+Q136+R136+S136+T136</f>
        <v>-50000</v>
      </c>
      <c r="V136" s="492">
        <v>50000</v>
      </c>
      <c r="W136" s="492">
        <v>0</v>
      </c>
      <c r="X136" s="492">
        <v>0</v>
      </c>
      <c r="Y136" s="492">
        <f t="shared" ref="Y136:Y140" si="237">V136+W136+X136</f>
        <v>50000</v>
      </c>
      <c r="Z136" s="492">
        <f t="shared" ref="Z136:Z140" si="238">U136+Y136</f>
        <v>0</v>
      </c>
      <c r="AA136" s="494">
        <f t="shared" ref="AA136:AA140" si="239">ROUND((U136+Y136)*33.8%,0)</f>
        <v>0</v>
      </c>
      <c r="AB136" s="494">
        <f>ROUND(U136*1%,0)</f>
        <v>-500</v>
      </c>
      <c r="AC136" s="14">
        <v>0</v>
      </c>
      <c r="AD136" s="892">
        <f t="shared" si="134"/>
        <v>-500</v>
      </c>
      <c r="AE136" s="702">
        <v>0</v>
      </c>
      <c r="AF136" s="702">
        <v>0</v>
      </c>
      <c r="AG136" s="491">
        <v>0</v>
      </c>
      <c r="AH136" s="491">
        <v>0</v>
      </c>
      <c r="AI136" s="491">
        <v>0</v>
      </c>
      <c r="AJ136" s="491">
        <v>0</v>
      </c>
      <c r="AK136" s="626">
        <f>SUM(AE136:AJ136)</f>
        <v>0</v>
      </c>
      <c r="AL136" s="696">
        <f>I136+AD136</f>
        <v>41045427</v>
      </c>
      <c r="AM136" s="492">
        <f>J136+U136</f>
        <v>30399501</v>
      </c>
      <c r="AN136" s="492">
        <f>Y136</f>
        <v>50000</v>
      </c>
      <c r="AO136" s="492">
        <f t="shared" ref="AO136:AQ140" si="240">K136+AA136</f>
        <v>10291931</v>
      </c>
      <c r="AP136" s="492">
        <f t="shared" si="240"/>
        <v>303995</v>
      </c>
      <c r="AQ136" s="578">
        <f t="shared" si="240"/>
        <v>0</v>
      </c>
      <c r="AR136" s="626">
        <f>N136+AK136</f>
        <v>40.4998</v>
      </c>
    </row>
    <row r="137" spans="1:44" ht="14.1" customHeight="1" x14ac:dyDescent="0.2">
      <c r="A137" s="499">
        <v>38</v>
      </c>
      <c r="B137" s="512">
        <v>2307</v>
      </c>
      <c r="C137" s="513">
        <v>600079911</v>
      </c>
      <c r="D137" s="512">
        <v>72743212</v>
      </c>
      <c r="E137" s="511" t="s">
        <v>592</v>
      </c>
      <c r="F137" s="499">
        <v>3113</v>
      </c>
      <c r="G137" s="511" t="s">
        <v>799</v>
      </c>
      <c r="H137" s="495" t="s">
        <v>262</v>
      </c>
      <c r="I137" s="627">
        <f t="shared" si="132"/>
        <v>276991</v>
      </c>
      <c r="J137" s="14">
        <v>205483</v>
      </c>
      <c r="K137" s="14">
        <v>69453</v>
      </c>
      <c r="L137" s="14">
        <v>2055</v>
      </c>
      <c r="M137" s="14">
        <v>0</v>
      </c>
      <c r="N137" s="121">
        <v>0.4</v>
      </c>
      <c r="O137" s="696">
        <f t="shared" si="133"/>
        <v>0</v>
      </c>
      <c r="P137" s="492">
        <v>0</v>
      </c>
      <c r="Q137" s="492">
        <v>0</v>
      </c>
      <c r="R137" s="492">
        <v>0</v>
      </c>
      <c r="S137" s="492">
        <v>0</v>
      </c>
      <c r="T137" s="492">
        <v>0</v>
      </c>
      <c r="U137" s="492">
        <f>O137+P137+Q137+R137+S137+T137</f>
        <v>0</v>
      </c>
      <c r="V137" s="492">
        <v>0</v>
      </c>
      <c r="W137" s="492">
        <v>0</v>
      </c>
      <c r="X137" s="492">
        <v>0</v>
      </c>
      <c r="Y137" s="492">
        <f t="shared" ref="Y137" si="241">V137+W137+X137</f>
        <v>0</v>
      </c>
      <c r="Z137" s="492">
        <f t="shared" ref="Z137" si="242">U137+Y137</f>
        <v>0</v>
      </c>
      <c r="AA137" s="494">
        <f t="shared" ref="AA137" si="243">ROUND((U137+Y137)*33.8%,0)</f>
        <v>0</v>
      </c>
      <c r="AB137" s="494">
        <f>ROUND(U137*1%,0)</f>
        <v>0</v>
      </c>
      <c r="AC137" s="14">
        <v>0</v>
      </c>
      <c r="AD137" s="892">
        <f t="shared" si="134"/>
        <v>0</v>
      </c>
      <c r="AE137" s="702">
        <v>0</v>
      </c>
      <c r="AF137" s="702">
        <v>0</v>
      </c>
      <c r="AG137" s="491">
        <v>0</v>
      </c>
      <c r="AH137" s="491">
        <v>0</v>
      </c>
      <c r="AI137" s="491">
        <v>0</v>
      </c>
      <c r="AJ137" s="491">
        <v>0</v>
      </c>
      <c r="AK137" s="626">
        <f>SUM(AE137:AJ137)</f>
        <v>0</v>
      </c>
      <c r="AL137" s="696">
        <f>I137+AD137</f>
        <v>276991</v>
      </c>
      <c r="AM137" s="492">
        <f>J137+U137</f>
        <v>205483</v>
      </c>
      <c r="AN137" s="492">
        <f>Y137</f>
        <v>0</v>
      </c>
      <c r="AO137" s="492">
        <f t="shared" si="240"/>
        <v>69453</v>
      </c>
      <c r="AP137" s="492">
        <f t="shared" si="240"/>
        <v>2055</v>
      </c>
      <c r="AQ137" s="578">
        <f t="shared" si="240"/>
        <v>0</v>
      </c>
      <c r="AR137" s="626">
        <f>N137+AK137</f>
        <v>0.4</v>
      </c>
    </row>
    <row r="138" spans="1:44" ht="14.1" customHeight="1" x14ac:dyDescent="0.2">
      <c r="A138" s="499">
        <v>38</v>
      </c>
      <c r="B138" s="512">
        <v>2307</v>
      </c>
      <c r="C138" s="513">
        <v>600079911</v>
      </c>
      <c r="D138" s="512">
        <v>72743212</v>
      </c>
      <c r="E138" s="511" t="s">
        <v>592</v>
      </c>
      <c r="F138" s="499">
        <v>3113</v>
      </c>
      <c r="G138" s="514" t="s">
        <v>278</v>
      </c>
      <c r="H138" s="495" t="s">
        <v>263</v>
      </c>
      <c r="I138" s="627">
        <f t="shared" si="132"/>
        <v>0</v>
      </c>
      <c r="J138" s="490">
        <v>0</v>
      </c>
      <c r="K138" s="14">
        <v>0</v>
      </c>
      <c r="L138" s="14">
        <v>0</v>
      </c>
      <c r="M138" s="14">
        <v>0</v>
      </c>
      <c r="N138" s="682">
        <v>0</v>
      </c>
      <c r="O138" s="696">
        <f t="shared" si="133"/>
        <v>0</v>
      </c>
      <c r="P138" s="490">
        <v>1489855</v>
      </c>
      <c r="Q138" s="492">
        <v>0</v>
      </c>
      <c r="R138" s="492">
        <v>0</v>
      </c>
      <c r="S138" s="492">
        <v>0</v>
      </c>
      <c r="T138" s="492">
        <v>0</v>
      </c>
      <c r="U138" s="492">
        <f>O138+P138+Q138+R138+S138+T138</f>
        <v>1489855</v>
      </c>
      <c r="V138" s="492">
        <v>0</v>
      </c>
      <c r="W138" s="492">
        <v>0</v>
      </c>
      <c r="X138" s="492">
        <v>0</v>
      </c>
      <c r="Y138" s="492">
        <f t="shared" si="237"/>
        <v>0</v>
      </c>
      <c r="Z138" s="492">
        <f t="shared" si="238"/>
        <v>1489855</v>
      </c>
      <c r="AA138" s="494">
        <f t="shared" si="239"/>
        <v>503571</v>
      </c>
      <c r="AB138" s="494">
        <f>ROUND(U138*1%,0)</f>
        <v>14899</v>
      </c>
      <c r="AC138" s="14">
        <v>0</v>
      </c>
      <c r="AD138" s="892">
        <f t="shared" si="134"/>
        <v>2008325</v>
      </c>
      <c r="AE138" s="702">
        <v>0</v>
      </c>
      <c r="AF138" s="121">
        <v>3.9200000000000004</v>
      </c>
      <c r="AG138" s="491">
        <v>0</v>
      </c>
      <c r="AH138" s="491">
        <v>0</v>
      </c>
      <c r="AI138" s="491">
        <v>0</v>
      </c>
      <c r="AJ138" s="491">
        <v>0</v>
      </c>
      <c r="AK138" s="626">
        <f>SUM(AE138:AJ138)</f>
        <v>3.9200000000000004</v>
      </c>
      <c r="AL138" s="696">
        <f>I138+AD138</f>
        <v>2008325</v>
      </c>
      <c r="AM138" s="492">
        <f>J138+U138</f>
        <v>1489855</v>
      </c>
      <c r="AN138" s="492">
        <f>Y138</f>
        <v>0</v>
      </c>
      <c r="AO138" s="492">
        <f t="shared" si="240"/>
        <v>503571</v>
      </c>
      <c r="AP138" s="492">
        <f t="shared" si="240"/>
        <v>14899</v>
      </c>
      <c r="AQ138" s="578">
        <f t="shared" si="240"/>
        <v>0</v>
      </c>
      <c r="AR138" s="626">
        <f>N138+AK138</f>
        <v>3.9200000000000004</v>
      </c>
    </row>
    <row r="139" spans="1:44" ht="14.1" customHeight="1" x14ac:dyDescent="0.2">
      <c r="A139" s="499">
        <v>38</v>
      </c>
      <c r="B139" s="512">
        <v>2307</v>
      </c>
      <c r="C139" s="513">
        <v>600079911</v>
      </c>
      <c r="D139" s="512">
        <v>72743212</v>
      </c>
      <c r="E139" s="511" t="s">
        <v>592</v>
      </c>
      <c r="F139" s="499">
        <v>3143</v>
      </c>
      <c r="G139" s="514" t="s">
        <v>795</v>
      </c>
      <c r="H139" s="495" t="s">
        <v>262</v>
      </c>
      <c r="I139" s="627">
        <f t="shared" si="132"/>
        <v>4092771</v>
      </c>
      <c r="J139" s="14">
        <v>3036180</v>
      </c>
      <c r="K139" s="14">
        <v>1026229</v>
      </c>
      <c r="L139" s="14">
        <v>30362</v>
      </c>
      <c r="M139" s="14">
        <v>0</v>
      </c>
      <c r="N139" s="121">
        <v>5.4463999999999997</v>
      </c>
      <c r="O139" s="696">
        <f t="shared" si="133"/>
        <v>0</v>
      </c>
      <c r="P139" s="492">
        <v>0</v>
      </c>
      <c r="Q139" s="492">
        <v>0</v>
      </c>
      <c r="R139" s="492">
        <v>0</v>
      </c>
      <c r="S139" s="492">
        <v>0</v>
      </c>
      <c r="T139" s="492">
        <v>0</v>
      </c>
      <c r="U139" s="492">
        <f>O139+P139+Q139+R139+S139+T139</f>
        <v>0</v>
      </c>
      <c r="V139" s="492">
        <v>0</v>
      </c>
      <c r="W139" s="492">
        <v>0</v>
      </c>
      <c r="X139" s="492">
        <v>0</v>
      </c>
      <c r="Y139" s="492">
        <f t="shared" si="237"/>
        <v>0</v>
      </c>
      <c r="Z139" s="492">
        <f t="shared" si="238"/>
        <v>0</v>
      </c>
      <c r="AA139" s="494">
        <f t="shared" si="239"/>
        <v>0</v>
      </c>
      <c r="AB139" s="494">
        <f>ROUND(U139*1%,0)</f>
        <v>0</v>
      </c>
      <c r="AC139" s="14">
        <v>0</v>
      </c>
      <c r="AD139" s="892">
        <f t="shared" si="134"/>
        <v>0</v>
      </c>
      <c r="AE139" s="702">
        <v>0</v>
      </c>
      <c r="AF139" s="702">
        <v>0</v>
      </c>
      <c r="AG139" s="491">
        <v>0</v>
      </c>
      <c r="AH139" s="491">
        <v>0</v>
      </c>
      <c r="AI139" s="491">
        <v>0</v>
      </c>
      <c r="AJ139" s="491">
        <v>0</v>
      </c>
      <c r="AK139" s="626">
        <f>SUM(AE139:AJ139)</f>
        <v>0</v>
      </c>
      <c r="AL139" s="696">
        <f>I139+AD139</f>
        <v>4092771</v>
      </c>
      <c r="AM139" s="492">
        <f>J139+U139</f>
        <v>3036180</v>
      </c>
      <c r="AN139" s="492">
        <f>Y139</f>
        <v>0</v>
      </c>
      <c r="AO139" s="492">
        <f t="shared" si="240"/>
        <v>1026229</v>
      </c>
      <c r="AP139" s="492">
        <f t="shared" si="240"/>
        <v>30362</v>
      </c>
      <c r="AQ139" s="578">
        <f t="shared" si="240"/>
        <v>0</v>
      </c>
      <c r="AR139" s="626">
        <f>N139+AK139</f>
        <v>5.4463999999999997</v>
      </c>
    </row>
    <row r="140" spans="1:44" ht="14.1" customHeight="1" x14ac:dyDescent="0.2">
      <c r="A140" s="499">
        <v>38</v>
      </c>
      <c r="B140" s="512">
        <v>2307</v>
      </c>
      <c r="C140" s="513">
        <v>600079911</v>
      </c>
      <c r="D140" s="512">
        <v>72743212</v>
      </c>
      <c r="E140" s="511" t="s">
        <v>592</v>
      </c>
      <c r="F140" s="499">
        <v>3143</v>
      </c>
      <c r="G140" s="514" t="s">
        <v>282</v>
      </c>
      <c r="H140" s="495" t="s">
        <v>263</v>
      </c>
      <c r="I140" s="627">
        <f t="shared" si="132"/>
        <v>402562</v>
      </c>
      <c r="J140" s="490">
        <v>298637</v>
      </c>
      <c r="K140" s="14">
        <f>ROUND(J140*33.8%,0)</f>
        <v>100939</v>
      </c>
      <c r="L140" s="14">
        <f>ROUND(J140*1%,0)</f>
        <v>2986</v>
      </c>
      <c r="M140" s="14">
        <v>0</v>
      </c>
      <c r="N140" s="682">
        <v>0.55000000000000004</v>
      </c>
      <c r="O140" s="696">
        <f t="shared" si="133"/>
        <v>0</v>
      </c>
      <c r="P140" s="492">
        <v>0</v>
      </c>
      <c r="Q140" s="492">
        <v>0</v>
      </c>
      <c r="R140" s="492">
        <v>0</v>
      </c>
      <c r="S140" s="492">
        <v>0</v>
      </c>
      <c r="T140" s="492">
        <v>0</v>
      </c>
      <c r="U140" s="492">
        <f>O140+P140+Q140+R140+S140+T140</f>
        <v>0</v>
      </c>
      <c r="V140" s="492">
        <v>0</v>
      </c>
      <c r="W140" s="492">
        <v>0</v>
      </c>
      <c r="X140" s="492">
        <v>0</v>
      </c>
      <c r="Y140" s="492">
        <f t="shared" si="237"/>
        <v>0</v>
      </c>
      <c r="Z140" s="492">
        <f t="shared" si="238"/>
        <v>0</v>
      </c>
      <c r="AA140" s="494">
        <f t="shared" si="239"/>
        <v>0</v>
      </c>
      <c r="AB140" s="494">
        <f>ROUND(U140*1%,0)</f>
        <v>0</v>
      </c>
      <c r="AC140" s="14">
        <v>0</v>
      </c>
      <c r="AD140" s="892">
        <f t="shared" si="134"/>
        <v>0</v>
      </c>
      <c r="AE140" s="702">
        <v>0</v>
      </c>
      <c r="AF140" s="702">
        <v>0</v>
      </c>
      <c r="AG140" s="491">
        <v>0</v>
      </c>
      <c r="AH140" s="491">
        <v>0</v>
      </c>
      <c r="AI140" s="491">
        <v>0</v>
      </c>
      <c r="AJ140" s="491">
        <v>0</v>
      </c>
      <c r="AK140" s="626">
        <f>SUM(AE140:AJ140)</f>
        <v>0</v>
      </c>
      <c r="AL140" s="696">
        <f>I140+AD140</f>
        <v>402562</v>
      </c>
      <c r="AM140" s="492">
        <f>J140+U140</f>
        <v>298637</v>
      </c>
      <c r="AN140" s="492">
        <f>Y140</f>
        <v>0</v>
      </c>
      <c r="AO140" s="492">
        <f t="shared" si="240"/>
        <v>100939</v>
      </c>
      <c r="AP140" s="492">
        <f t="shared" si="240"/>
        <v>2986</v>
      </c>
      <c r="AQ140" s="578">
        <f t="shared" si="240"/>
        <v>0</v>
      </c>
      <c r="AR140" s="626">
        <f>N140+AK140</f>
        <v>0.55000000000000004</v>
      </c>
    </row>
    <row r="141" spans="1:44" ht="14.1" customHeight="1" x14ac:dyDescent="0.2">
      <c r="A141" s="510">
        <v>38</v>
      </c>
      <c r="B141" s="508">
        <v>2307</v>
      </c>
      <c r="C141" s="509">
        <v>600079911</v>
      </c>
      <c r="D141" s="508">
        <v>72743212</v>
      </c>
      <c r="E141" s="506" t="s">
        <v>593</v>
      </c>
      <c r="F141" s="510"/>
      <c r="G141" s="506"/>
      <c r="H141" s="505"/>
      <c r="I141" s="629">
        <f t="shared" ref="I141:AR141" si="244">SUM(I136:I140)</f>
        <v>45818251</v>
      </c>
      <c r="J141" s="504">
        <f t="shared" si="244"/>
        <v>33989801</v>
      </c>
      <c r="K141" s="504">
        <f t="shared" si="244"/>
        <v>11488552</v>
      </c>
      <c r="L141" s="504">
        <f t="shared" si="244"/>
        <v>339898</v>
      </c>
      <c r="M141" s="504">
        <f t="shared" si="244"/>
        <v>0</v>
      </c>
      <c r="N141" s="885">
        <f t="shared" si="244"/>
        <v>46.896199999999993</v>
      </c>
      <c r="O141" s="629">
        <f t="shared" si="244"/>
        <v>-50000</v>
      </c>
      <c r="P141" s="503">
        <f t="shared" si="244"/>
        <v>1489855</v>
      </c>
      <c r="Q141" s="503">
        <f t="shared" si="244"/>
        <v>0</v>
      </c>
      <c r="R141" s="503">
        <f t="shared" si="244"/>
        <v>0</v>
      </c>
      <c r="S141" s="503">
        <f t="shared" si="244"/>
        <v>0</v>
      </c>
      <c r="T141" s="503">
        <f t="shared" si="244"/>
        <v>0</v>
      </c>
      <c r="U141" s="503">
        <f t="shared" si="244"/>
        <v>1439855</v>
      </c>
      <c r="V141" s="503">
        <f t="shared" si="244"/>
        <v>50000</v>
      </c>
      <c r="W141" s="503">
        <f t="shared" si="244"/>
        <v>0</v>
      </c>
      <c r="X141" s="503">
        <f t="shared" si="244"/>
        <v>0</v>
      </c>
      <c r="Y141" s="503">
        <f t="shared" si="244"/>
        <v>50000</v>
      </c>
      <c r="Z141" s="503">
        <f t="shared" si="244"/>
        <v>1489855</v>
      </c>
      <c r="AA141" s="503">
        <f t="shared" si="244"/>
        <v>503571</v>
      </c>
      <c r="AB141" s="503">
        <f t="shared" si="244"/>
        <v>14399</v>
      </c>
      <c r="AC141" s="503">
        <f t="shared" si="244"/>
        <v>0</v>
      </c>
      <c r="AD141" s="891">
        <f t="shared" si="244"/>
        <v>2007825</v>
      </c>
      <c r="AE141" s="701">
        <f t="shared" si="244"/>
        <v>0</v>
      </c>
      <c r="AF141" s="701">
        <f t="shared" si="244"/>
        <v>3.9200000000000004</v>
      </c>
      <c r="AG141" s="502">
        <f t="shared" si="244"/>
        <v>0</v>
      </c>
      <c r="AH141" s="502">
        <f t="shared" si="244"/>
        <v>0</v>
      </c>
      <c r="AI141" s="502">
        <f t="shared" si="244"/>
        <v>0</v>
      </c>
      <c r="AJ141" s="502">
        <f t="shared" si="244"/>
        <v>0</v>
      </c>
      <c r="AK141" s="630">
        <f t="shared" si="244"/>
        <v>3.9200000000000004</v>
      </c>
      <c r="AL141" s="629">
        <f t="shared" si="244"/>
        <v>47826076</v>
      </c>
      <c r="AM141" s="503">
        <f t="shared" si="244"/>
        <v>35429656</v>
      </c>
      <c r="AN141" s="552">
        <f t="shared" si="244"/>
        <v>50000</v>
      </c>
      <c r="AO141" s="503">
        <f t="shared" si="244"/>
        <v>11992123</v>
      </c>
      <c r="AP141" s="503">
        <f t="shared" si="244"/>
        <v>354297</v>
      </c>
      <c r="AQ141" s="503">
        <f t="shared" si="244"/>
        <v>0</v>
      </c>
      <c r="AR141" s="630">
        <f t="shared" si="244"/>
        <v>50.816199999999995</v>
      </c>
    </row>
    <row r="142" spans="1:44" ht="14.1" customHeight="1" x14ac:dyDescent="0.2">
      <c r="A142" s="499">
        <v>39</v>
      </c>
      <c r="B142" s="512">
        <v>2478</v>
      </c>
      <c r="C142" s="513">
        <v>600079929</v>
      </c>
      <c r="D142" s="512">
        <v>72743379</v>
      </c>
      <c r="E142" s="511" t="s">
        <v>594</v>
      </c>
      <c r="F142" s="499">
        <v>3113</v>
      </c>
      <c r="G142" s="511" t="s">
        <v>280</v>
      </c>
      <c r="H142" s="495" t="s">
        <v>262</v>
      </c>
      <c r="I142" s="627">
        <f t="shared" ref="I142:I204" si="245">SUM(J142:M142)</f>
        <v>38990894</v>
      </c>
      <c r="J142" s="14">
        <v>28924996</v>
      </c>
      <c r="K142" s="14">
        <v>9776648</v>
      </c>
      <c r="L142" s="14">
        <v>289250</v>
      </c>
      <c r="M142" s="14">
        <v>0</v>
      </c>
      <c r="N142" s="121">
        <v>39.356999999999999</v>
      </c>
      <c r="O142" s="696">
        <f t="shared" ref="O142:O204" si="246">V142*-1</f>
        <v>-133000</v>
      </c>
      <c r="P142" s="492">
        <v>0</v>
      </c>
      <c r="Q142" s="492">
        <v>127880</v>
      </c>
      <c r="R142" s="492">
        <v>0</v>
      </c>
      <c r="S142" s="492">
        <v>0</v>
      </c>
      <c r="T142" s="492">
        <v>0</v>
      </c>
      <c r="U142" s="492">
        <f>O142+P142+Q142+R142+S142+T142</f>
        <v>-5120</v>
      </c>
      <c r="V142" s="492">
        <v>133000</v>
      </c>
      <c r="W142" s="492">
        <v>250174</v>
      </c>
      <c r="X142" s="492">
        <v>0</v>
      </c>
      <c r="Y142" s="492">
        <f t="shared" ref="Y142:Y145" si="247">V142+W142+X142</f>
        <v>383174</v>
      </c>
      <c r="Z142" s="492">
        <f t="shared" ref="Z142:Z145" si="248">U142+Y142</f>
        <v>378054</v>
      </c>
      <c r="AA142" s="494">
        <f t="shared" ref="AA142:AA145" si="249">ROUND((U142+Y142)*33.8%,0)</f>
        <v>127782</v>
      </c>
      <c r="AB142" s="494">
        <f>ROUND(U142*1%,0)</f>
        <v>-51</v>
      </c>
      <c r="AC142" s="14">
        <v>0</v>
      </c>
      <c r="AD142" s="892">
        <f t="shared" ref="AD142:AD204" si="250">Z142+AA142+AB142+AC142</f>
        <v>505785</v>
      </c>
      <c r="AE142" s="702">
        <v>-0.17</v>
      </c>
      <c r="AF142" s="702">
        <v>0</v>
      </c>
      <c r="AG142" s="491">
        <v>0</v>
      </c>
      <c r="AH142" s="491">
        <v>0.19</v>
      </c>
      <c r="AI142" s="491">
        <v>0</v>
      </c>
      <c r="AJ142" s="491">
        <v>0</v>
      </c>
      <c r="AK142" s="626">
        <f>SUM(AE142:AJ142)</f>
        <v>1.999999999999999E-2</v>
      </c>
      <c r="AL142" s="696">
        <f>I142+AD142</f>
        <v>39496679</v>
      </c>
      <c r="AM142" s="492">
        <f>J142+U142</f>
        <v>28919876</v>
      </c>
      <c r="AN142" s="492">
        <f>Y142</f>
        <v>383174</v>
      </c>
      <c r="AO142" s="492">
        <f t="shared" ref="AO142:AQ145" si="251">K142+AA142</f>
        <v>9904430</v>
      </c>
      <c r="AP142" s="492">
        <f t="shared" si="251"/>
        <v>289199</v>
      </c>
      <c r="AQ142" s="578">
        <f t="shared" si="251"/>
        <v>0</v>
      </c>
      <c r="AR142" s="626">
        <f>N142+AK142</f>
        <v>39.377000000000002</v>
      </c>
    </row>
    <row r="143" spans="1:44" ht="14.1" customHeight="1" x14ac:dyDescent="0.2">
      <c r="A143" s="499">
        <v>39</v>
      </c>
      <c r="B143" s="512">
        <v>2478</v>
      </c>
      <c r="C143" s="513">
        <v>600079929</v>
      </c>
      <c r="D143" s="512">
        <v>72743379</v>
      </c>
      <c r="E143" s="511" t="s">
        <v>594</v>
      </c>
      <c r="F143" s="499">
        <v>3113</v>
      </c>
      <c r="G143" s="511" t="s">
        <v>799</v>
      </c>
      <c r="H143" s="495" t="s">
        <v>262</v>
      </c>
      <c r="I143" s="627">
        <f t="shared" si="245"/>
        <v>732142</v>
      </c>
      <c r="J143" s="14">
        <v>543132</v>
      </c>
      <c r="K143" s="14">
        <v>183579</v>
      </c>
      <c r="L143" s="14">
        <v>5431</v>
      </c>
      <c r="M143" s="14">
        <v>0</v>
      </c>
      <c r="N143" s="121">
        <v>1</v>
      </c>
      <c r="O143" s="696">
        <f t="shared" si="246"/>
        <v>0</v>
      </c>
      <c r="P143" s="492">
        <v>0</v>
      </c>
      <c r="Q143" s="492">
        <v>0</v>
      </c>
      <c r="R143" s="492">
        <v>0</v>
      </c>
      <c r="S143" s="492">
        <v>0</v>
      </c>
      <c r="T143" s="492">
        <v>0</v>
      </c>
      <c r="U143" s="492">
        <f>O143+P143+Q143+R143+S143+T143</f>
        <v>0</v>
      </c>
      <c r="V143" s="492">
        <v>0</v>
      </c>
      <c r="W143" s="492">
        <v>0</v>
      </c>
      <c r="X143" s="492">
        <v>0</v>
      </c>
      <c r="Y143" s="492">
        <f t="shared" ref="Y143" si="252">V143+W143+X143</f>
        <v>0</v>
      </c>
      <c r="Z143" s="492">
        <f t="shared" ref="Z143" si="253">U143+Y143</f>
        <v>0</v>
      </c>
      <c r="AA143" s="494">
        <f t="shared" ref="AA143" si="254">ROUND((U143+Y143)*33.8%,0)</f>
        <v>0</v>
      </c>
      <c r="AB143" s="494">
        <f>ROUND(U143*1%,0)</f>
        <v>0</v>
      </c>
      <c r="AC143" s="14">
        <v>0</v>
      </c>
      <c r="AD143" s="892">
        <f t="shared" si="250"/>
        <v>0</v>
      </c>
      <c r="AE143" s="702">
        <v>0</v>
      </c>
      <c r="AF143" s="702">
        <v>0</v>
      </c>
      <c r="AG143" s="491">
        <v>0</v>
      </c>
      <c r="AH143" s="491">
        <v>0</v>
      </c>
      <c r="AI143" s="491">
        <v>0</v>
      </c>
      <c r="AJ143" s="491">
        <v>0</v>
      </c>
      <c r="AK143" s="626">
        <f>SUM(AE143:AJ143)</f>
        <v>0</v>
      </c>
      <c r="AL143" s="696">
        <f>I143+AD143</f>
        <v>732142</v>
      </c>
      <c r="AM143" s="492">
        <f>J143+U143</f>
        <v>543132</v>
      </c>
      <c r="AN143" s="492">
        <f>Y143</f>
        <v>0</v>
      </c>
      <c r="AO143" s="492">
        <f t="shared" si="251"/>
        <v>183579</v>
      </c>
      <c r="AP143" s="492">
        <f t="shared" si="251"/>
        <v>5431</v>
      </c>
      <c r="AQ143" s="578">
        <f t="shared" si="251"/>
        <v>0</v>
      </c>
      <c r="AR143" s="626">
        <f>N143+AK143</f>
        <v>1</v>
      </c>
    </row>
    <row r="144" spans="1:44" ht="14.1" customHeight="1" x14ac:dyDescent="0.2">
      <c r="A144" s="499">
        <v>39</v>
      </c>
      <c r="B144" s="512">
        <v>2478</v>
      </c>
      <c r="C144" s="513">
        <v>600079929</v>
      </c>
      <c r="D144" s="512">
        <v>72743379</v>
      </c>
      <c r="E144" s="511" t="s">
        <v>594</v>
      </c>
      <c r="F144" s="499">
        <v>3113</v>
      </c>
      <c r="G144" s="514" t="s">
        <v>278</v>
      </c>
      <c r="H144" s="495" t="s">
        <v>263</v>
      </c>
      <c r="I144" s="627">
        <f t="shared" si="245"/>
        <v>0</v>
      </c>
      <c r="J144" s="490">
        <v>0</v>
      </c>
      <c r="K144" s="14">
        <v>0</v>
      </c>
      <c r="L144" s="14">
        <v>0</v>
      </c>
      <c r="M144" s="14">
        <v>0</v>
      </c>
      <c r="N144" s="682">
        <v>0</v>
      </c>
      <c r="O144" s="696">
        <f t="shared" si="246"/>
        <v>0</v>
      </c>
      <c r="P144" s="490">
        <v>4742149</v>
      </c>
      <c r="Q144" s="492">
        <v>0</v>
      </c>
      <c r="R144" s="492">
        <v>0</v>
      </c>
      <c r="S144" s="492">
        <v>0</v>
      </c>
      <c r="T144" s="492">
        <v>0</v>
      </c>
      <c r="U144" s="492">
        <f>O144+P144+Q144+R144+S144+T144</f>
        <v>4742149</v>
      </c>
      <c r="V144" s="492">
        <v>0</v>
      </c>
      <c r="W144" s="492">
        <v>0</v>
      </c>
      <c r="X144" s="492">
        <v>0</v>
      </c>
      <c r="Y144" s="492">
        <f t="shared" si="247"/>
        <v>0</v>
      </c>
      <c r="Z144" s="492">
        <f t="shared" si="248"/>
        <v>4742149</v>
      </c>
      <c r="AA144" s="494">
        <f t="shared" si="249"/>
        <v>1602846</v>
      </c>
      <c r="AB144" s="494">
        <f>ROUND(U144*1%,0)</f>
        <v>47421</v>
      </c>
      <c r="AC144" s="14">
        <v>0</v>
      </c>
      <c r="AD144" s="892">
        <f t="shared" si="250"/>
        <v>6392416</v>
      </c>
      <c r="AE144" s="702">
        <v>0</v>
      </c>
      <c r="AF144" s="121">
        <v>11.950000000000001</v>
      </c>
      <c r="AG144" s="491">
        <v>0</v>
      </c>
      <c r="AH144" s="491">
        <v>0</v>
      </c>
      <c r="AI144" s="491">
        <v>0</v>
      </c>
      <c r="AJ144" s="491">
        <v>0</v>
      </c>
      <c r="AK144" s="626">
        <f>SUM(AE144:AJ144)</f>
        <v>11.950000000000001</v>
      </c>
      <c r="AL144" s="696">
        <f>I144+AD144</f>
        <v>6392416</v>
      </c>
      <c r="AM144" s="492">
        <f>J144+U144</f>
        <v>4742149</v>
      </c>
      <c r="AN144" s="492">
        <f>Y144</f>
        <v>0</v>
      </c>
      <c r="AO144" s="492">
        <f t="shared" si="251"/>
        <v>1602846</v>
      </c>
      <c r="AP144" s="492">
        <f t="shared" si="251"/>
        <v>47421</v>
      </c>
      <c r="AQ144" s="578">
        <f t="shared" si="251"/>
        <v>0</v>
      </c>
      <c r="AR144" s="626">
        <f>N144+AK144</f>
        <v>11.950000000000001</v>
      </c>
    </row>
    <row r="145" spans="1:44" ht="14.1" customHeight="1" x14ac:dyDescent="0.2">
      <c r="A145" s="499">
        <v>39</v>
      </c>
      <c r="B145" s="512">
        <v>2478</v>
      </c>
      <c r="C145" s="513">
        <v>600079929</v>
      </c>
      <c r="D145" s="512">
        <v>72743379</v>
      </c>
      <c r="E145" s="511" t="s">
        <v>594</v>
      </c>
      <c r="F145" s="499">
        <v>3143</v>
      </c>
      <c r="G145" s="514" t="s">
        <v>795</v>
      </c>
      <c r="H145" s="495" t="s">
        <v>262</v>
      </c>
      <c r="I145" s="627">
        <f t="shared" si="245"/>
        <v>6723799</v>
      </c>
      <c r="J145" s="14">
        <v>4987981</v>
      </c>
      <c r="K145" s="14">
        <v>1685938</v>
      </c>
      <c r="L145" s="14">
        <v>49880</v>
      </c>
      <c r="M145" s="14">
        <v>0</v>
      </c>
      <c r="N145" s="121">
        <v>9.8439999999999994</v>
      </c>
      <c r="O145" s="696">
        <f t="shared" si="246"/>
        <v>-5000</v>
      </c>
      <c r="P145" s="492">
        <v>0</v>
      </c>
      <c r="Q145" s="492">
        <v>0</v>
      </c>
      <c r="R145" s="492">
        <v>0</v>
      </c>
      <c r="S145" s="492">
        <v>0</v>
      </c>
      <c r="T145" s="492">
        <v>0</v>
      </c>
      <c r="U145" s="492">
        <f>O145+P145+Q145+R145+S145+T145</f>
        <v>-5000</v>
      </c>
      <c r="V145" s="492">
        <v>5000</v>
      </c>
      <c r="W145" s="492">
        <v>0</v>
      </c>
      <c r="X145" s="492">
        <v>0</v>
      </c>
      <c r="Y145" s="492">
        <f t="shared" si="247"/>
        <v>5000</v>
      </c>
      <c r="Z145" s="492">
        <f t="shared" si="248"/>
        <v>0</v>
      </c>
      <c r="AA145" s="494">
        <f t="shared" si="249"/>
        <v>0</v>
      </c>
      <c r="AB145" s="494">
        <f>ROUND(U145*1%,0)</f>
        <v>-50</v>
      </c>
      <c r="AC145" s="14">
        <v>0</v>
      </c>
      <c r="AD145" s="892">
        <f t="shared" si="250"/>
        <v>-50</v>
      </c>
      <c r="AE145" s="702">
        <v>0</v>
      </c>
      <c r="AF145" s="702">
        <v>0</v>
      </c>
      <c r="AG145" s="491">
        <v>0</v>
      </c>
      <c r="AH145" s="491">
        <v>0</v>
      </c>
      <c r="AI145" s="491">
        <v>0</v>
      </c>
      <c r="AJ145" s="491">
        <v>0</v>
      </c>
      <c r="AK145" s="626">
        <f>SUM(AE145:AJ145)</f>
        <v>0</v>
      </c>
      <c r="AL145" s="696">
        <f>I145+AD145</f>
        <v>6723749</v>
      </c>
      <c r="AM145" s="492">
        <f>J145+U145</f>
        <v>4982981</v>
      </c>
      <c r="AN145" s="492">
        <f>Y145</f>
        <v>5000</v>
      </c>
      <c r="AO145" s="492">
        <f t="shared" si="251"/>
        <v>1685938</v>
      </c>
      <c r="AP145" s="492">
        <f t="shared" si="251"/>
        <v>49830</v>
      </c>
      <c r="AQ145" s="578">
        <f t="shared" si="251"/>
        <v>0</v>
      </c>
      <c r="AR145" s="626">
        <f>N145+AK145</f>
        <v>9.8439999999999994</v>
      </c>
    </row>
    <row r="146" spans="1:44" ht="14.1" customHeight="1" x14ac:dyDescent="0.2">
      <c r="A146" s="510">
        <v>39</v>
      </c>
      <c r="B146" s="508">
        <v>2478</v>
      </c>
      <c r="C146" s="509">
        <v>600079929</v>
      </c>
      <c r="D146" s="508">
        <v>72743379</v>
      </c>
      <c r="E146" s="506" t="s">
        <v>595</v>
      </c>
      <c r="F146" s="510"/>
      <c r="G146" s="506"/>
      <c r="H146" s="505"/>
      <c r="I146" s="629">
        <f t="shared" ref="I146:AR146" si="255">SUM(I142:I145)</f>
        <v>46446835</v>
      </c>
      <c r="J146" s="504">
        <f t="shared" si="255"/>
        <v>34456109</v>
      </c>
      <c r="K146" s="504">
        <f t="shared" si="255"/>
        <v>11646165</v>
      </c>
      <c r="L146" s="504">
        <f t="shared" si="255"/>
        <v>344561</v>
      </c>
      <c r="M146" s="504">
        <f t="shared" si="255"/>
        <v>0</v>
      </c>
      <c r="N146" s="885">
        <f t="shared" si="255"/>
        <v>50.201000000000001</v>
      </c>
      <c r="O146" s="629">
        <f t="shared" si="255"/>
        <v>-138000</v>
      </c>
      <c r="P146" s="503">
        <f t="shared" si="255"/>
        <v>4742149</v>
      </c>
      <c r="Q146" s="503">
        <f t="shared" si="255"/>
        <v>127880</v>
      </c>
      <c r="R146" s="503">
        <f t="shared" si="255"/>
        <v>0</v>
      </c>
      <c r="S146" s="503">
        <f t="shared" si="255"/>
        <v>0</v>
      </c>
      <c r="T146" s="503">
        <f t="shared" si="255"/>
        <v>0</v>
      </c>
      <c r="U146" s="503">
        <f t="shared" si="255"/>
        <v>4732029</v>
      </c>
      <c r="V146" s="503">
        <f t="shared" si="255"/>
        <v>138000</v>
      </c>
      <c r="W146" s="503">
        <f t="shared" si="255"/>
        <v>250174</v>
      </c>
      <c r="X146" s="503">
        <f t="shared" si="255"/>
        <v>0</v>
      </c>
      <c r="Y146" s="503">
        <f t="shared" si="255"/>
        <v>388174</v>
      </c>
      <c r="Z146" s="503">
        <f t="shared" si="255"/>
        <v>5120203</v>
      </c>
      <c r="AA146" s="503">
        <f t="shared" si="255"/>
        <v>1730628</v>
      </c>
      <c r="AB146" s="503">
        <f t="shared" si="255"/>
        <v>47320</v>
      </c>
      <c r="AC146" s="503">
        <f t="shared" si="255"/>
        <v>0</v>
      </c>
      <c r="AD146" s="891">
        <f t="shared" si="255"/>
        <v>6898151</v>
      </c>
      <c r="AE146" s="701">
        <f t="shared" si="255"/>
        <v>-0.17</v>
      </c>
      <c r="AF146" s="701">
        <f t="shared" si="255"/>
        <v>11.950000000000001</v>
      </c>
      <c r="AG146" s="502">
        <f t="shared" si="255"/>
        <v>0</v>
      </c>
      <c r="AH146" s="502">
        <f t="shared" si="255"/>
        <v>0.19</v>
      </c>
      <c r="AI146" s="502">
        <f t="shared" si="255"/>
        <v>0</v>
      </c>
      <c r="AJ146" s="502">
        <f t="shared" si="255"/>
        <v>0</v>
      </c>
      <c r="AK146" s="630">
        <f t="shared" si="255"/>
        <v>11.97</v>
      </c>
      <c r="AL146" s="629">
        <f t="shared" si="255"/>
        <v>53344986</v>
      </c>
      <c r="AM146" s="503">
        <f t="shared" si="255"/>
        <v>39188138</v>
      </c>
      <c r="AN146" s="552">
        <f t="shared" si="255"/>
        <v>388174</v>
      </c>
      <c r="AO146" s="503">
        <f t="shared" si="255"/>
        <v>13376793</v>
      </c>
      <c r="AP146" s="503">
        <f t="shared" si="255"/>
        <v>391881</v>
      </c>
      <c r="AQ146" s="503">
        <f t="shared" si="255"/>
        <v>0</v>
      </c>
      <c r="AR146" s="630">
        <f t="shared" si="255"/>
        <v>62.171000000000006</v>
      </c>
    </row>
    <row r="147" spans="1:44" ht="14.1" customHeight="1" x14ac:dyDescent="0.2">
      <c r="A147" s="499">
        <v>40</v>
      </c>
      <c r="B147" s="512">
        <v>2465</v>
      </c>
      <c r="C147" s="513">
        <v>650018273</v>
      </c>
      <c r="D147" s="512">
        <v>72741791</v>
      </c>
      <c r="E147" s="511" t="s">
        <v>596</v>
      </c>
      <c r="F147" s="499">
        <v>3111</v>
      </c>
      <c r="G147" s="511" t="s">
        <v>277</v>
      </c>
      <c r="H147" s="495" t="s">
        <v>262</v>
      </c>
      <c r="I147" s="627">
        <f t="shared" si="245"/>
        <v>6470423</v>
      </c>
      <c r="J147" s="14">
        <v>4800017</v>
      </c>
      <c r="K147" s="14">
        <v>1622406</v>
      </c>
      <c r="L147" s="14">
        <v>48000</v>
      </c>
      <c r="M147" s="14">
        <v>0</v>
      </c>
      <c r="N147" s="121">
        <v>7.9355000000000002</v>
      </c>
      <c r="O147" s="696">
        <f t="shared" si="246"/>
        <v>-20000</v>
      </c>
      <c r="P147" s="492">
        <v>0</v>
      </c>
      <c r="Q147" s="492">
        <v>0</v>
      </c>
      <c r="R147" s="492">
        <v>0</v>
      </c>
      <c r="S147" s="492">
        <v>0</v>
      </c>
      <c r="T147" s="492">
        <v>0</v>
      </c>
      <c r="U147" s="492">
        <f>O147+P147+Q147+R147+S147+T147</f>
        <v>-20000</v>
      </c>
      <c r="V147" s="492">
        <v>20000</v>
      </c>
      <c r="W147" s="492">
        <v>0</v>
      </c>
      <c r="X147" s="492">
        <v>0</v>
      </c>
      <c r="Y147" s="492">
        <f t="shared" ref="Y147:Y151" si="256">V147+W147+X147</f>
        <v>20000</v>
      </c>
      <c r="Z147" s="492">
        <f t="shared" ref="Z147:Z151" si="257">U147+Y147</f>
        <v>0</v>
      </c>
      <c r="AA147" s="494">
        <f t="shared" ref="AA147:AA151" si="258">ROUND((U147+Y147)*33.8%,0)</f>
        <v>0</v>
      </c>
      <c r="AB147" s="494">
        <f t="shared" ref="AB147:AB151" si="259">ROUND(U147*1%,0)</f>
        <v>-200</v>
      </c>
      <c r="AC147" s="14">
        <v>0</v>
      </c>
      <c r="AD147" s="892">
        <f t="shared" si="250"/>
        <v>-200</v>
      </c>
      <c r="AE147" s="702">
        <v>0</v>
      </c>
      <c r="AF147" s="702">
        <v>0</v>
      </c>
      <c r="AG147" s="491">
        <v>0</v>
      </c>
      <c r="AH147" s="491">
        <v>0</v>
      </c>
      <c r="AI147" s="491">
        <v>0</v>
      </c>
      <c r="AJ147" s="491">
        <v>0</v>
      </c>
      <c r="AK147" s="626">
        <f>SUM(AE147:AJ147)</f>
        <v>0</v>
      </c>
      <c r="AL147" s="696">
        <f>I147+AD147</f>
        <v>6470223</v>
      </c>
      <c r="AM147" s="492">
        <f>J147+U147</f>
        <v>4780017</v>
      </c>
      <c r="AN147" s="492">
        <f>Y147</f>
        <v>20000</v>
      </c>
      <c r="AO147" s="492">
        <f t="shared" ref="AO147:AQ151" si="260">K147+AA147</f>
        <v>1622406</v>
      </c>
      <c r="AP147" s="492">
        <f t="shared" si="260"/>
        <v>47800</v>
      </c>
      <c r="AQ147" s="578">
        <f t="shared" si="260"/>
        <v>0</v>
      </c>
      <c r="AR147" s="626">
        <f>N147+AK147</f>
        <v>7.9355000000000002</v>
      </c>
    </row>
    <row r="148" spans="1:44" ht="14.1" customHeight="1" x14ac:dyDescent="0.2">
      <c r="A148" s="499">
        <v>40</v>
      </c>
      <c r="B148" s="512">
        <v>2465</v>
      </c>
      <c r="C148" s="513">
        <v>650018273</v>
      </c>
      <c r="D148" s="512">
        <v>72741791</v>
      </c>
      <c r="E148" s="511" t="s">
        <v>596</v>
      </c>
      <c r="F148" s="499">
        <v>3113</v>
      </c>
      <c r="G148" s="511" t="s">
        <v>280</v>
      </c>
      <c r="H148" s="495" t="s">
        <v>262</v>
      </c>
      <c r="I148" s="627">
        <f t="shared" si="245"/>
        <v>19640365</v>
      </c>
      <c r="J148" s="14">
        <v>14570004</v>
      </c>
      <c r="K148" s="14">
        <v>4924661</v>
      </c>
      <c r="L148" s="14">
        <v>145700</v>
      </c>
      <c r="M148" s="14">
        <v>0</v>
      </c>
      <c r="N148" s="121">
        <v>20.4543</v>
      </c>
      <c r="O148" s="696">
        <f t="shared" si="246"/>
        <v>-40000</v>
      </c>
      <c r="P148" s="492">
        <v>0</v>
      </c>
      <c r="Q148" s="492">
        <v>0</v>
      </c>
      <c r="R148" s="492">
        <v>0</v>
      </c>
      <c r="S148" s="492">
        <v>0</v>
      </c>
      <c r="T148" s="492">
        <v>0</v>
      </c>
      <c r="U148" s="492">
        <f>O148+P148+Q148+R148+S148+T148</f>
        <v>-40000</v>
      </c>
      <c r="V148" s="492">
        <v>40000</v>
      </c>
      <c r="W148" s="492">
        <v>0</v>
      </c>
      <c r="X148" s="492">
        <v>0</v>
      </c>
      <c r="Y148" s="492">
        <f t="shared" si="256"/>
        <v>40000</v>
      </c>
      <c r="Z148" s="492">
        <f t="shared" si="257"/>
        <v>0</v>
      </c>
      <c r="AA148" s="494">
        <f t="shared" si="258"/>
        <v>0</v>
      </c>
      <c r="AB148" s="494">
        <f t="shared" si="259"/>
        <v>-400</v>
      </c>
      <c r="AC148" s="14">
        <v>0</v>
      </c>
      <c r="AD148" s="892">
        <f t="shared" si="250"/>
        <v>-400</v>
      </c>
      <c r="AE148" s="702">
        <v>0</v>
      </c>
      <c r="AF148" s="702">
        <v>0</v>
      </c>
      <c r="AG148" s="491">
        <v>0</v>
      </c>
      <c r="AH148" s="491">
        <v>0</v>
      </c>
      <c r="AI148" s="491">
        <v>0</v>
      </c>
      <c r="AJ148" s="491">
        <v>0</v>
      </c>
      <c r="AK148" s="626">
        <f>SUM(AE148:AJ148)</f>
        <v>0</v>
      </c>
      <c r="AL148" s="696">
        <f>I148+AD148</f>
        <v>19639965</v>
      </c>
      <c r="AM148" s="492">
        <f>J148+U148</f>
        <v>14530004</v>
      </c>
      <c r="AN148" s="492">
        <f>Y148</f>
        <v>40000</v>
      </c>
      <c r="AO148" s="492">
        <f t="shared" si="260"/>
        <v>4924661</v>
      </c>
      <c r="AP148" s="492">
        <f t="shared" si="260"/>
        <v>145300</v>
      </c>
      <c r="AQ148" s="578">
        <f t="shared" si="260"/>
        <v>0</v>
      </c>
      <c r="AR148" s="626">
        <f>N148+AK148</f>
        <v>20.4543</v>
      </c>
    </row>
    <row r="149" spans="1:44" ht="14.1" customHeight="1" x14ac:dyDescent="0.2">
      <c r="A149" s="499">
        <v>40</v>
      </c>
      <c r="B149" s="512">
        <v>2465</v>
      </c>
      <c r="C149" s="513">
        <v>650018273</v>
      </c>
      <c r="D149" s="512">
        <v>72741791</v>
      </c>
      <c r="E149" s="511" t="s">
        <v>596</v>
      </c>
      <c r="F149" s="499">
        <v>3113</v>
      </c>
      <c r="G149" s="511" t="s">
        <v>799</v>
      </c>
      <c r="H149" s="495" t="s">
        <v>262</v>
      </c>
      <c r="I149" s="627">
        <f t="shared" si="245"/>
        <v>0</v>
      </c>
      <c r="J149" s="490">
        <v>0</v>
      </c>
      <c r="K149" s="14">
        <v>0</v>
      </c>
      <c r="L149" s="14">
        <v>0</v>
      </c>
      <c r="M149" s="14">
        <v>0</v>
      </c>
      <c r="N149" s="682">
        <v>0</v>
      </c>
      <c r="O149" s="696">
        <f t="shared" si="246"/>
        <v>0</v>
      </c>
      <c r="P149" s="492">
        <v>0</v>
      </c>
      <c r="Q149" s="492">
        <v>0</v>
      </c>
      <c r="R149" s="492">
        <v>275418</v>
      </c>
      <c r="S149" s="492">
        <v>0</v>
      </c>
      <c r="T149" s="492">
        <v>0</v>
      </c>
      <c r="U149" s="492">
        <f>O149+P149+Q149+R149+S149+T149</f>
        <v>275418</v>
      </c>
      <c r="V149" s="492">
        <v>0</v>
      </c>
      <c r="W149" s="492">
        <v>0</v>
      </c>
      <c r="X149" s="492">
        <v>0</v>
      </c>
      <c r="Y149" s="492">
        <f t="shared" ref="Y149" si="261">V149+W149+X149</f>
        <v>0</v>
      </c>
      <c r="Z149" s="492">
        <f t="shared" ref="Z149" si="262">U149+Y149</f>
        <v>275418</v>
      </c>
      <c r="AA149" s="494">
        <f t="shared" ref="AA149" si="263">ROUND((U149+Y149)*33.8%,0)</f>
        <v>93091</v>
      </c>
      <c r="AB149" s="494">
        <f t="shared" ref="AB149" si="264">ROUND(U149*1%,0)</f>
        <v>2754</v>
      </c>
      <c r="AC149" s="14">
        <v>0</v>
      </c>
      <c r="AD149" s="892">
        <f t="shared" si="250"/>
        <v>371263</v>
      </c>
      <c r="AE149" s="702">
        <v>0</v>
      </c>
      <c r="AF149" s="703">
        <v>0</v>
      </c>
      <c r="AG149" s="491">
        <v>0.5</v>
      </c>
      <c r="AH149" s="491">
        <v>0</v>
      </c>
      <c r="AI149" s="491">
        <v>0</v>
      </c>
      <c r="AJ149" s="491">
        <v>0</v>
      </c>
      <c r="AK149" s="626">
        <f>SUM(AE149:AJ149)</f>
        <v>0.5</v>
      </c>
      <c r="AL149" s="696">
        <f>I149+AD149</f>
        <v>371263</v>
      </c>
      <c r="AM149" s="492">
        <f>J149+U149</f>
        <v>275418</v>
      </c>
      <c r="AN149" s="492">
        <f>Y149</f>
        <v>0</v>
      </c>
      <c r="AO149" s="492">
        <f t="shared" si="260"/>
        <v>93091</v>
      </c>
      <c r="AP149" s="492">
        <f t="shared" si="260"/>
        <v>2754</v>
      </c>
      <c r="AQ149" s="578">
        <f t="shared" si="260"/>
        <v>0</v>
      </c>
      <c r="AR149" s="626">
        <f>N149+AK149</f>
        <v>0.5</v>
      </c>
    </row>
    <row r="150" spans="1:44" ht="14.1" customHeight="1" x14ac:dyDescent="0.2">
      <c r="A150" s="499">
        <v>40</v>
      </c>
      <c r="B150" s="512">
        <v>2465</v>
      </c>
      <c r="C150" s="513">
        <v>650018273</v>
      </c>
      <c r="D150" s="512">
        <v>72741791</v>
      </c>
      <c r="E150" s="511" t="s">
        <v>596</v>
      </c>
      <c r="F150" s="499">
        <v>3113</v>
      </c>
      <c r="G150" s="514" t="s">
        <v>278</v>
      </c>
      <c r="H150" s="495" t="s">
        <v>263</v>
      </c>
      <c r="I150" s="627">
        <f t="shared" si="245"/>
        <v>0</v>
      </c>
      <c r="J150" s="490">
        <v>0</v>
      </c>
      <c r="K150" s="14">
        <v>0</v>
      </c>
      <c r="L150" s="14">
        <v>0</v>
      </c>
      <c r="M150" s="14">
        <v>0</v>
      </c>
      <c r="N150" s="682">
        <v>0</v>
      </c>
      <c r="O150" s="696">
        <f t="shared" si="246"/>
        <v>-20000</v>
      </c>
      <c r="P150" s="490">
        <f>3946773+280982</f>
        <v>4227755</v>
      </c>
      <c r="Q150" s="492">
        <v>0</v>
      </c>
      <c r="R150" s="492">
        <v>0</v>
      </c>
      <c r="S150" s="492">
        <v>0</v>
      </c>
      <c r="T150" s="492">
        <v>0</v>
      </c>
      <c r="U150" s="492">
        <f>O150+P150+Q150+R150+S150+T150</f>
        <v>4207755</v>
      </c>
      <c r="V150" s="492">
        <v>20000</v>
      </c>
      <c r="W150" s="492">
        <v>0</v>
      </c>
      <c r="X150" s="492">
        <v>0</v>
      </c>
      <c r="Y150" s="492">
        <f t="shared" si="256"/>
        <v>20000</v>
      </c>
      <c r="Z150" s="492">
        <f t="shared" si="257"/>
        <v>4227755</v>
      </c>
      <c r="AA150" s="494">
        <f t="shared" si="258"/>
        <v>1428981</v>
      </c>
      <c r="AB150" s="494">
        <f t="shared" si="259"/>
        <v>42078</v>
      </c>
      <c r="AC150" s="14">
        <v>0</v>
      </c>
      <c r="AD150" s="892">
        <f t="shared" si="250"/>
        <v>5698814</v>
      </c>
      <c r="AE150" s="702">
        <v>0</v>
      </c>
      <c r="AF150" s="121">
        <f>9.78+0.68</f>
        <v>10.459999999999999</v>
      </c>
      <c r="AG150" s="491">
        <v>0</v>
      </c>
      <c r="AH150" s="491">
        <v>0</v>
      </c>
      <c r="AI150" s="491">
        <v>0</v>
      </c>
      <c r="AJ150" s="491">
        <v>0</v>
      </c>
      <c r="AK150" s="626">
        <f>SUM(AE150:AJ150)</f>
        <v>10.459999999999999</v>
      </c>
      <c r="AL150" s="696">
        <f>I150+AD150</f>
        <v>5698814</v>
      </c>
      <c r="AM150" s="492">
        <f>J150+U150</f>
        <v>4207755</v>
      </c>
      <c r="AN150" s="492">
        <f>Y150</f>
        <v>20000</v>
      </c>
      <c r="AO150" s="492">
        <f t="shared" si="260"/>
        <v>1428981</v>
      </c>
      <c r="AP150" s="492">
        <f t="shared" si="260"/>
        <v>42078</v>
      </c>
      <c r="AQ150" s="578">
        <f t="shared" si="260"/>
        <v>0</v>
      </c>
      <c r="AR150" s="626">
        <f>N150+AK150</f>
        <v>10.459999999999999</v>
      </c>
    </row>
    <row r="151" spans="1:44" ht="14.1" customHeight="1" x14ac:dyDescent="0.2">
      <c r="A151" s="499">
        <v>40</v>
      </c>
      <c r="B151" s="512">
        <v>2465</v>
      </c>
      <c r="C151" s="513">
        <v>650018273</v>
      </c>
      <c r="D151" s="512">
        <v>72741791</v>
      </c>
      <c r="E151" s="511" t="s">
        <v>596</v>
      </c>
      <c r="F151" s="499">
        <v>3143</v>
      </c>
      <c r="G151" s="514" t="s">
        <v>794</v>
      </c>
      <c r="H151" s="495" t="s">
        <v>262</v>
      </c>
      <c r="I151" s="627">
        <f t="shared" si="245"/>
        <v>2931384</v>
      </c>
      <c r="J151" s="14">
        <v>2174617</v>
      </c>
      <c r="K151" s="14">
        <v>735021</v>
      </c>
      <c r="L151" s="14">
        <v>21746</v>
      </c>
      <c r="M151" s="14">
        <v>0</v>
      </c>
      <c r="N151" s="121">
        <v>4.2507000000000001</v>
      </c>
      <c r="O151" s="696">
        <f t="shared" si="246"/>
        <v>-20000</v>
      </c>
      <c r="P151" s="492">
        <v>0</v>
      </c>
      <c r="Q151" s="492">
        <v>0</v>
      </c>
      <c r="R151" s="492">
        <v>0</v>
      </c>
      <c r="S151" s="492">
        <v>0</v>
      </c>
      <c r="T151" s="492">
        <v>0</v>
      </c>
      <c r="U151" s="492">
        <f>O151+P151+Q151+R151+S151+T151</f>
        <v>-20000</v>
      </c>
      <c r="V151" s="492">
        <v>20000</v>
      </c>
      <c r="W151" s="492">
        <v>0</v>
      </c>
      <c r="X151" s="492">
        <v>0</v>
      </c>
      <c r="Y151" s="492">
        <f t="shared" si="256"/>
        <v>20000</v>
      </c>
      <c r="Z151" s="492">
        <f t="shared" si="257"/>
        <v>0</v>
      </c>
      <c r="AA151" s="494">
        <f t="shared" si="258"/>
        <v>0</v>
      </c>
      <c r="AB151" s="494">
        <f t="shared" si="259"/>
        <v>-200</v>
      </c>
      <c r="AC151" s="14">
        <v>0</v>
      </c>
      <c r="AD151" s="892">
        <f t="shared" si="250"/>
        <v>-200</v>
      </c>
      <c r="AE151" s="702">
        <v>0</v>
      </c>
      <c r="AF151" s="702">
        <v>0</v>
      </c>
      <c r="AG151" s="491">
        <v>0</v>
      </c>
      <c r="AH151" s="491">
        <v>0</v>
      </c>
      <c r="AI151" s="491">
        <v>0</v>
      </c>
      <c r="AJ151" s="491">
        <v>0</v>
      </c>
      <c r="AK151" s="626">
        <f>SUM(AE151:AJ151)</f>
        <v>0</v>
      </c>
      <c r="AL151" s="696">
        <f>I151+AD151</f>
        <v>2931184</v>
      </c>
      <c r="AM151" s="492">
        <f>J151+U151</f>
        <v>2154617</v>
      </c>
      <c r="AN151" s="492">
        <f>Y151</f>
        <v>20000</v>
      </c>
      <c r="AO151" s="492">
        <f t="shared" si="260"/>
        <v>735021</v>
      </c>
      <c r="AP151" s="492">
        <f t="shared" si="260"/>
        <v>21546</v>
      </c>
      <c r="AQ151" s="578">
        <f t="shared" si="260"/>
        <v>0</v>
      </c>
      <c r="AR151" s="626">
        <f>N151+AK151</f>
        <v>4.2507000000000001</v>
      </c>
    </row>
    <row r="152" spans="1:44" ht="14.1" customHeight="1" x14ac:dyDescent="0.2">
      <c r="A152" s="510">
        <v>40</v>
      </c>
      <c r="B152" s="508">
        <v>2465</v>
      </c>
      <c r="C152" s="509">
        <v>650018273</v>
      </c>
      <c r="D152" s="508">
        <v>72741791</v>
      </c>
      <c r="E152" s="506" t="s">
        <v>597</v>
      </c>
      <c r="F152" s="510"/>
      <c r="G152" s="506"/>
      <c r="H152" s="505"/>
      <c r="I152" s="629">
        <f t="shared" ref="I152:AR152" si="265">SUM(I147:I151)</f>
        <v>29042172</v>
      </c>
      <c r="J152" s="504">
        <f t="shared" si="265"/>
        <v>21544638</v>
      </c>
      <c r="K152" s="504">
        <f t="shared" si="265"/>
        <v>7282088</v>
      </c>
      <c r="L152" s="504">
        <f t="shared" si="265"/>
        <v>215446</v>
      </c>
      <c r="M152" s="504">
        <f t="shared" si="265"/>
        <v>0</v>
      </c>
      <c r="N152" s="885">
        <f t="shared" si="265"/>
        <v>32.640500000000003</v>
      </c>
      <c r="O152" s="629">
        <f t="shared" si="265"/>
        <v>-100000</v>
      </c>
      <c r="P152" s="503">
        <f t="shared" si="265"/>
        <v>4227755</v>
      </c>
      <c r="Q152" s="503">
        <f t="shared" si="265"/>
        <v>0</v>
      </c>
      <c r="R152" s="503">
        <f t="shared" si="265"/>
        <v>275418</v>
      </c>
      <c r="S152" s="503">
        <f t="shared" si="265"/>
        <v>0</v>
      </c>
      <c r="T152" s="503">
        <f t="shared" si="265"/>
        <v>0</v>
      </c>
      <c r="U152" s="503">
        <f t="shared" si="265"/>
        <v>4403173</v>
      </c>
      <c r="V152" s="503">
        <f t="shared" si="265"/>
        <v>100000</v>
      </c>
      <c r="W152" s="503">
        <f t="shared" si="265"/>
        <v>0</v>
      </c>
      <c r="X152" s="503">
        <f t="shared" si="265"/>
        <v>0</v>
      </c>
      <c r="Y152" s="503">
        <f t="shared" si="265"/>
        <v>100000</v>
      </c>
      <c r="Z152" s="503">
        <f t="shared" si="265"/>
        <v>4503173</v>
      </c>
      <c r="AA152" s="503">
        <f t="shared" si="265"/>
        <v>1522072</v>
      </c>
      <c r="AB152" s="503">
        <f t="shared" si="265"/>
        <v>44032</v>
      </c>
      <c r="AC152" s="503">
        <f t="shared" si="265"/>
        <v>0</v>
      </c>
      <c r="AD152" s="891">
        <f t="shared" si="265"/>
        <v>6069277</v>
      </c>
      <c r="AE152" s="701">
        <f t="shared" si="265"/>
        <v>0</v>
      </c>
      <c r="AF152" s="701">
        <f t="shared" si="265"/>
        <v>10.459999999999999</v>
      </c>
      <c r="AG152" s="502">
        <f t="shared" si="265"/>
        <v>0.5</v>
      </c>
      <c r="AH152" s="502">
        <f t="shared" si="265"/>
        <v>0</v>
      </c>
      <c r="AI152" s="502">
        <f t="shared" si="265"/>
        <v>0</v>
      </c>
      <c r="AJ152" s="502">
        <f t="shared" si="265"/>
        <v>0</v>
      </c>
      <c r="AK152" s="630">
        <f t="shared" si="265"/>
        <v>10.959999999999999</v>
      </c>
      <c r="AL152" s="629">
        <f t="shared" si="265"/>
        <v>35111449</v>
      </c>
      <c r="AM152" s="503">
        <f t="shared" si="265"/>
        <v>25947811</v>
      </c>
      <c r="AN152" s="552">
        <f t="shared" si="265"/>
        <v>100000</v>
      </c>
      <c r="AO152" s="503">
        <f t="shared" si="265"/>
        <v>8804160</v>
      </c>
      <c r="AP152" s="503">
        <f t="shared" si="265"/>
        <v>259478</v>
      </c>
      <c r="AQ152" s="503">
        <f t="shared" si="265"/>
        <v>0</v>
      </c>
      <c r="AR152" s="630">
        <f t="shared" si="265"/>
        <v>43.600500000000004</v>
      </c>
    </row>
    <row r="153" spans="1:44" ht="14.1" customHeight="1" x14ac:dyDescent="0.2">
      <c r="A153" s="499">
        <v>41</v>
      </c>
      <c r="B153" s="512">
        <v>2480</v>
      </c>
      <c r="C153" s="513">
        <v>600080293</v>
      </c>
      <c r="D153" s="512">
        <v>46744924</v>
      </c>
      <c r="E153" s="511" t="s">
        <v>598</v>
      </c>
      <c r="F153" s="499">
        <v>3113</v>
      </c>
      <c r="G153" s="511" t="s">
        <v>280</v>
      </c>
      <c r="H153" s="495" t="s">
        <v>262</v>
      </c>
      <c r="I153" s="627">
        <f t="shared" si="245"/>
        <v>34547086</v>
      </c>
      <c r="J153" s="14">
        <v>25628401</v>
      </c>
      <c r="K153" s="14">
        <v>8662400</v>
      </c>
      <c r="L153" s="14">
        <v>256285</v>
      </c>
      <c r="M153" s="14">
        <v>0</v>
      </c>
      <c r="N153" s="121">
        <v>32.318100000000001</v>
      </c>
      <c r="O153" s="696">
        <f t="shared" si="246"/>
        <v>-20000</v>
      </c>
      <c r="P153" s="492">
        <v>0</v>
      </c>
      <c r="Q153" s="492">
        <v>0</v>
      </c>
      <c r="R153" s="492">
        <v>0</v>
      </c>
      <c r="S153" s="492">
        <v>0</v>
      </c>
      <c r="T153" s="492">
        <v>0</v>
      </c>
      <c r="U153" s="492">
        <f>O153+P153+Q153+R153+S153+T153</f>
        <v>-20000</v>
      </c>
      <c r="V153" s="492">
        <v>20000</v>
      </c>
      <c r="W153" s="492">
        <v>0</v>
      </c>
      <c r="X153" s="492">
        <v>0</v>
      </c>
      <c r="Y153" s="492">
        <f t="shared" ref="Y153:Y157" si="266">V153+W153+X153</f>
        <v>20000</v>
      </c>
      <c r="Z153" s="492">
        <f t="shared" ref="Z153:Z157" si="267">U153+Y153</f>
        <v>0</v>
      </c>
      <c r="AA153" s="494">
        <f t="shared" ref="AA153:AA157" si="268">ROUND((U153+Y153)*33.8%,0)</f>
        <v>0</v>
      </c>
      <c r="AB153" s="494">
        <f t="shared" ref="AB153:AB157" si="269">ROUND(U153*1%,0)</f>
        <v>-200</v>
      </c>
      <c r="AC153" s="14">
        <v>0</v>
      </c>
      <c r="AD153" s="892">
        <f t="shared" si="250"/>
        <v>-200</v>
      </c>
      <c r="AE153" s="702">
        <v>-0.03</v>
      </c>
      <c r="AF153" s="702">
        <v>0</v>
      </c>
      <c r="AG153" s="491">
        <v>0</v>
      </c>
      <c r="AH153" s="491">
        <v>0</v>
      </c>
      <c r="AI153" s="491">
        <v>0</v>
      </c>
      <c r="AJ153" s="491">
        <v>0</v>
      </c>
      <c r="AK153" s="626">
        <f>SUM(AE153:AJ153)</f>
        <v>-0.03</v>
      </c>
      <c r="AL153" s="696">
        <f>I153+AD153</f>
        <v>34546886</v>
      </c>
      <c r="AM153" s="492">
        <f>J153+U153</f>
        <v>25608401</v>
      </c>
      <c r="AN153" s="492">
        <f>Y153</f>
        <v>20000</v>
      </c>
      <c r="AO153" s="492">
        <f t="shared" ref="AO153:AQ157" si="270">K153+AA153</f>
        <v>8662400</v>
      </c>
      <c r="AP153" s="492">
        <f t="shared" si="270"/>
        <v>256085</v>
      </c>
      <c r="AQ153" s="578">
        <f t="shared" si="270"/>
        <v>0</v>
      </c>
      <c r="AR153" s="626">
        <f>N153+AK153</f>
        <v>32.2881</v>
      </c>
    </row>
    <row r="154" spans="1:44" ht="14.1" customHeight="1" x14ac:dyDescent="0.2">
      <c r="A154" s="499">
        <v>41</v>
      </c>
      <c r="B154" s="512">
        <v>2480</v>
      </c>
      <c r="C154" s="513">
        <v>600080293</v>
      </c>
      <c r="D154" s="512">
        <v>46744924</v>
      </c>
      <c r="E154" s="511" t="s">
        <v>598</v>
      </c>
      <c r="F154" s="499">
        <v>3113</v>
      </c>
      <c r="G154" s="511" t="s">
        <v>799</v>
      </c>
      <c r="H154" s="495" t="s">
        <v>262</v>
      </c>
      <c r="I154" s="627">
        <f t="shared" si="245"/>
        <v>790909</v>
      </c>
      <c r="J154" s="14">
        <v>586728</v>
      </c>
      <c r="K154" s="14">
        <v>198314</v>
      </c>
      <c r="L154" s="14">
        <v>5867</v>
      </c>
      <c r="M154" s="14">
        <v>0</v>
      </c>
      <c r="N154" s="121">
        <v>1</v>
      </c>
      <c r="O154" s="696">
        <f t="shared" si="246"/>
        <v>0</v>
      </c>
      <c r="P154" s="492">
        <v>0</v>
      </c>
      <c r="Q154" s="492">
        <v>0</v>
      </c>
      <c r="R154" s="492">
        <v>0</v>
      </c>
      <c r="S154" s="492">
        <v>0</v>
      </c>
      <c r="T154" s="492">
        <v>0</v>
      </c>
      <c r="U154" s="492">
        <f>O154+P154+Q154+R154+S154+T154</f>
        <v>0</v>
      </c>
      <c r="V154" s="492">
        <v>0</v>
      </c>
      <c r="W154" s="492">
        <v>0</v>
      </c>
      <c r="X154" s="492">
        <v>0</v>
      </c>
      <c r="Y154" s="492">
        <f t="shared" ref="Y154" si="271">V154+W154+X154</f>
        <v>0</v>
      </c>
      <c r="Z154" s="492">
        <f t="shared" ref="Z154" si="272">U154+Y154</f>
        <v>0</v>
      </c>
      <c r="AA154" s="494">
        <f t="shared" ref="AA154" si="273">ROUND((U154+Y154)*33.8%,0)</f>
        <v>0</v>
      </c>
      <c r="AB154" s="494">
        <f t="shared" ref="AB154" si="274">ROUND(U154*1%,0)</f>
        <v>0</v>
      </c>
      <c r="AC154" s="14">
        <v>0</v>
      </c>
      <c r="AD154" s="892">
        <f t="shared" si="250"/>
        <v>0</v>
      </c>
      <c r="AE154" s="702">
        <v>0</v>
      </c>
      <c r="AF154" s="702">
        <v>0</v>
      </c>
      <c r="AG154" s="491">
        <v>0</v>
      </c>
      <c r="AH154" s="491">
        <v>0</v>
      </c>
      <c r="AI154" s="491">
        <v>0</v>
      </c>
      <c r="AJ154" s="491">
        <v>0</v>
      </c>
      <c r="AK154" s="626">
        <f>SUM(AE154:AJ154)</f>
        <v>0</v>
      </c>
      <c r="AL154" s="696">
        <f>I154+AD154</f>
        <v>790909</v>
      </c>
      <c r="AM154" s="492">
        <f>J154+U154</f>
        <v>586728</v>
      </c>
      <c r="AN154" s="492">
        <f>Y154</f>
        <v>0</v>
      </c>
      <c r="AO154" s="492">
        <f t="shared" si="270"/>
        <v>198314</v>
      </c>
      <c r="AP154" s="492">
        <f t="shared" si="270"/>
        <v>5867</v>
      </c>
      <c r="AQ154" s="578">
        <f t="shared" si="270"/>
        <v>0</v>
      </c>
      <c r="AR154" s="626">
        <f>N154+AK154</f>
        <v>1</v>
      </c>
    </row>
    <row r="155" spans="1:44" ht="14.1" customHeight="1" x14ac:dyDescent="0.2">
      <c r="A155" s="499">
        <v>41</v>
      </c>
      <c r="B155" s="512">
        <v>2480</v>
      </c>
      <c r="C155" s="513">
        <v>600080293</v>
      </c>
      <c r="D155" s="512">
        <v>46744924</v>
      </c>
      <c r="E155" s="511" t="s">
        <v>598</v>
      </c>
      <c r="F155" s="499">
        <v>3113</v>
      </c>
      <c r="G155" s="514" t="s">
        <v>278</v>
      </c>
      <c r="H155" s="495" t="s">
        <v>263</v>
      </c>
      <c r="I155" s="627">
        <f t="shared" si="245"/>
        <v>0</v>
      </c>
      <c r="J155" s="490">
        <v>0</v>
      </c>
      <c r="K155" s="14">
        <v>0</v>
      </c>
      <c r="L155" s="14">
        <v>0</v>
      </c>
      <c r="M155" s="14">
        <v>0</v>
      </c>
      <c r="N155" s="682">
        <v>0</v>
      </c>
      <c r="O155" s="696">
        <f t="shared" si="246"/>
        <v>0</v>
      </c>
      <c r="P155" s="490">
        <f>1464338+24283</f>
        <v>1488621</v>
      </c>
      <c r="Q155" s="492">
        <v>0</v>
      </c>
      <c r="R155" s="492">
        <v>0</v>
      </c>
      <c r="S155" s="492">
        <v>0</v>
      </c>
      <c r="T155" s="492">
        <v>0</v>
      </c>
      <c r="U155" s="492">
        <f>O155+P155+Q155+R155+S155+T155</f>
        <v>1488621</v>
      </c>
      <c r="V155" s="492">
        <v>0</v>
      </c>
      <c r="W155" s="492">
        <v>0</v>
      </c>
      <c r="X155" s="492">
        <v>0</v>
      </c>
      <c r="Y155" s="492">
        <f t="shared" si="266"/>
        <v>0</v>
      </c>
      <c r="Z155" s="492">
        <f t="shared" si="267"/>
        <v>1488621</v>
      </c>
      <c r="AA155" s="494">
        <f t="shared" si="268"/>
        <v>503154</v>
      </c>
      <c r="AB155" s="494">
        <f t="shared" si="269"/>
        <v>14886</v>
      </c>
      <c r="AC155" s="14">
        <v>0</v>
      </c>
      <c r="AD155" s="892">
        <f t="shared" si="250"/>
        <v>2006661</v>
      </c>
      <c r="AE155" s="702">
        <v>0</v>
      </c>
      <c r="AF155" s="121">
        <f>3.49+0.05</f>
        <v>3.54</v>
      </c>
      <c r="AG155" s="491">
        <v>0</v>
      </c>
      <c r="AH155" s="491">
        <v>0</v>
      </c>
      <c r="AI155" s="491">
        <v>0</v>
      </c>
      <c r="AJ155" s="491">
        <v>0</v>
      </c>
      <c r="AK155" s="626">
        <f>SUM(AE155:AJ155)</f>
        <v>3.54</v>
      </c>
      <c r="AL155" s="696">
        <f>I155+AD155</f>
        <v>2006661</v>
      </c>
      <c r="AM155" s="492">
        <f>J155+U155</f>
        <v>1488621</v>
      </c>
      <c r="AN155" s="492">
        <f>Y155</f>
        <v>0</v>
      </c>
      <c r="AO155" s="492">
        <f t="shared" si="270"/>
        <v>503154</v>
      </c>
      <c r="AP155" s="492">
        <f t="shared" si="270"/>
        <v>14886</v>
      </c>
      <c r="AQ155" s="578">
        <f t="shared" si="270"/>
        <v>0</v>
      </c>
      <c r="AR155" s="626">
        <f>N155+AK155</f>
        <v>3.54</v>
      </c>
    </row>
    <row r="156" spans="1:44" ht="14.1" customHeight="1" x14ac:dyDescent="0.2">
      <c r="A156" s="499">
        <v>41</v>
      </c>
      <c r="B156" s="512">
        <v>2480</v>
      </c>
      <c r="C156" s="513">
        <v>600080293</v>
      </c>
      <c r="D156" s="512">
        <v>46744924</v>
      </c>
      <c r="E156" s="511" t="s">
        <v>598</v>
      </c>
      <c r="F156" s="499">
        <v>3143</v>
      </c>
      <c r="G156" s="514" t="s">
        <v>794</v>
      </c>
      <c r="H156" s="495" t="s">
        <v>262</v>
      </c>
      <c r="I156" s="627">
        <f t="shared" si="245"/>
        <v>3704620</v>
      </c>
      <c r="J156" s="14">
        <v>2748235</v>
      </c>
      <c r="K156" s="14">
        <v>928903</v>
      </c>
      <c r="L156" s="14">
        <v>27482</v>
      </c>
      <c r="M156" s="14">
        <v>0</v>
      </c>
      <c r="N156" s="121">
        <v>5.1100000000000003</v>
      </c>
      <c r="O156" s="696">
        <f t="shared" si="246"/>
        <v>0</v>
      </c>
      <c r="P156" s="492">
        <v>0</v>
      </c>
      <c r="Q156" s="492">
        <v>0</v>
      </c>
      <c r="R156" s="492">
        <v>0</v>
      </c>
      <c r="S156" s="492">
        <v>0</v>
      </c>
      <c r="T156" s="492">
        <v>0</v>
      </c>
      <c r="U156" s="492">
        <f>O156+P156+Q156+R156+S156+T156</f>
        <v>0</v>
      </c>
      <c r="V156" s="492">
        <v>0</v>
      </c>
      <c r="W156" s="492">
        <v>0</v>
      </c>
      <c r="X156" s="492">
        <v>0</v>
      </c>
      <c r="Y156" s="492">
        <f t="shared" si="266"/>
        <v>0</v>
      </c>
      <c r="Z156" s="492">
        <f t="shared" si="267"/>
        <v>0</v>
      </c>
      <c r="AA156" s="494">
        <f t="shared" si="268"/>
        <v>0</v>
      </c>
      <c r="AB156" s="494">
        <f t="shared" si="269"/>
        <v>0</v>
      </c>
      <c r="AC156" s="14">
        <v>0</v>
      </c>
      <c r="AD156" s="892">
        <f t="shared" si="250"/>
        <v>0</v>
      </c>
      <c r="AE156" s="702">
        <v>0</v>
      </c>
      <c r="AF156" s="702">
        <v>0</v>
      </c>
      <c r="AG156" s="491">
        <v>0</v>
      </c>
      <c r="AH156" s="491">
        <v>0</v>
      </c>
      <c r="AI156" s="491">
        <v>0</v>
      </c>
      <c r="AJ156" s="491">
        <v>0</v>
      </c>
      <c r="AK156" s="626">
        <f>SUM(AE156:AJ156)</f>
        <v>0</v>
      </c>
      <c r="AL156" s="696">
        <f>I156+AD156</f>
        <v>3704620</v>
      </c>
      <c r="AM156" s="492">
        <f>J156+U156</f>
        <v>2748235</v>
      </c>
      <c r="AN156" s="492">
        <f>Y156</f>
        <v>0</v>
      </c>
      <c r="AO156" s="492">
        <f t="shared" si="270"/>
        <v>928903</v>
      </c>
      <c r="AP156" s="492">
        <f t="shared" si="270"/>
        <v>27482</v>
      </c>
      <c r="AQ156" s="578">
        <f t="shared" si="270"/>
        <v>0</v>
      </c>
      <c r="AR156" s="626">
        <f>N156+AK156</f>
        <v>5.1100000000000003</v>
      </c>
    </row>
    <row r="157" spans="1:44" ht="14.1" customHeight="1" x14ac:dyDescent="0.2">
      <c r="A157" s="499">
        <v>41</v>
      </c>
      <c r="B157" s="512">
        <v>2480</v>
      </c>
      <c r="C157" s="513">
        <v>600080293</v>
      </c>
      <c r="D157" s="512">
        <v>46744924</v>
      </c>
      <c r="E157" s="511" t="s">
        <v>598</v>
      </c>
      <c r="F157" s="499">
        <v>3143</v>
      </c>
      <c r="G157" s="514" t="s">
        <v>282</v>
      </c>
      <c r="H157" s="495" t="s">
        <v>263</v>
      </c>
      <c r="I157" s="627">
        <f t="shared" si="245"/>
        <v>1002469</v>
      </c>
      <c r="J157" s="490">
        <v>743671</v>
      </c>
      <c r="K157" s="14">
        <f>ROUND(J157*33.8%,0)</f>
        <v>251361</v>
      </c>
      <c r="L157" s="14">
        <f>ROUND(J157*1%,0)</f>
        <v>7437</v>
      </c>
      <c r="M157" s="14">
        <v>0</v>
      </c>
      <c r="N157" s="682">
        <v>1.38</v>
      </c>
      <c r="O157" s="696">
        <f t="shared" si="246"/>
        <v>0</v>
      </c>
      <c r="P157" s="492">
        <v>0</v>
      </c>
      <c r="Q157" s="492">
        <v>0</v>
      </c>
      <c r="R157" s="492">
        <v>0</v>
      </c>
      <c r="S157" s="492">
        <v>0</v>
      </c>
      <c r="T157" s="492">
        <v>0</v>
      </c>
      <c r="U157" s="492">
        <f>O157+P157+Q157+R157+S157+T157</f>
        <v>0</v>
      </c>
      <c r="V157" s="492">
        <v>0</v>
      </c>
      <c r="W157" s="492">
        <v>0</v>
      </c>
      <c r="X157" s="492">
        <v>0</v>
      </c>
      <c r="Y157" s="492">
        <f t="shared" si="266"/>
        <v>0</v>
      </c>
      <c r="Z157" s="492">
        <f t="shared" si="267"/>
        <v>0</v>
      </c>
      <c r="AA157" s="494">
        <f t="shared" si="268"/>
        <v>0</v>
      </c>
      <c r="AB157" s="494">
        <f t="shared" si="269"/>
        <v>0</v>
      </c>
      <c r="AC157" s="14">
        <v>0</v>
      </c>
      <c r="AD157" s="892">
        <f t="shared" si="250"/>
        <v>0</v>
      </c>
      <c r="AE157" s="702">
        <v>0</v>
      </c>
      <c r="AF157" s="702">
        <v>0</v>
      </c>
      <c r="AG157" s="491">
        <v>0</v>
      </c>
      <c r="AH157" s="491">
        <v>0</v>
      </c>
      <c r="AI157" s="491">
        <v>0</v>
      </c>
      <c r="AJ157" s="491">
        <v>0</v>
      </c>
      <c r="AK157" s="626">
        <f>SUM(AE157:AJ157)</f>
        <v>0</v>
      </c>
      <c r="AL157" s="696">
        <f>I157+AD157</f>
        <v>1002469</v>
      </c>
      <c r="AM157" s="492">
        <f>J157+U157</f>
        <v>743671</v>
      </c>
      <c r="AN157" s="492">
        <f>Y157</f>
        <v>0</v>
      </c>
      <c r="AO157" s="492">
        <f t="shared" si="270"/>
        <v>251361</v>
      </c>
      <c r="AP157" s="492">
        <f t="shared" si="270"/>
        <v>7437</v>
      </c>
      <c r="AQ157" s="578">
        <f t="shared" si="270"/>
        <v>0</v>
      </c>
      <c r="AR157" s="626">
        <f>N157+AK157</f>
        <v>1.38</v>
      </c>
    </row>
    <row r="158" spans="1:44" ht="14.1" customHeight="1" x14ac:dyDescent="0.2">
      <c r="A158" s="510">
        <v>41</v>
      </c>
      <c r="B158" s="508">
        <v>2480</v>
      </c>
      <c r="C158" s="509">
        <v>600080293</v>
      </c>
      <c r="D158" s="508">
        <v>46744924</v>
      </c>
      <c r="E158" s="506" t="s">
        <v>599</v>
      </c>
      <c r="F158" s="510"/>
      <c r="G158" s="506"/>
      <c r="H158" s="505"/>
      <c r="I158" s="629">
        <f t="shared" ref="I158:AR158" si="275">SUM(I153:I157)</f>
        <v>40045084</v>
      </c>
      <c r="J158" s="504">
        <f t="shared" si="275"/>
        <v>29707035</v>
      </c>
      <c r="K158" s="504">
        <f t="shared" si="275"/>
        <v>10040978</v>
      </c>
      <c r="L158" s="504">
        <f t="shared" si="275"/>
        <v>297071</v>
      </c>
      <c r="M158" s="504">
        <f t="shared" si="275"/>
        <v>0</v>
      </c>
      <c r="N158" s="885">
        <f t="shared" si="275"/>
        <v>39.808100000000003</v>
      </c>
      <c r="O158" s="629">
        <f t="shared" si="275"/>
        <v>-20000</v>
      </c>
      <c r="P158" s="503">
        <f t="shared" si="275"/>
        <v>1488621</v>
      </c>
      <c r="Q158" s="503">
        <f t="shared" si="275"/>
        <v>0</v>
      </c>
      <c r="R158" s="503">
        <f t="shared" si="275"/>
        <v>0</v>
      </c>
      <c r="S158" s="503">
        <f t="shared" si="275"/>
        <v>0</v>
      </c>
      <c r="T158" s="503">
        <f t="shared" si="275"/>
        <v>0</v>
      </c>
      <c r="U158" s="503">
        <f t="shared" si="275"/>
        <v>1468621</v>
      </c>
      <c r="V158" s="503">
        <f t="shared" si="275"/>
        <v>20000</v>
      </c>
      <c r="W158" s="503">
        <f t="shared" si="275"/>
        <v>0</v>
      </c>
      <c r="X158" s="503">
        <f t="shared" si="275"/>
        <v>0</v>
      </c>
      <c r="Y158" s="503">
        <f t="shared" si="275"/>
        <v>20000</v>
      </c>
      <c r="Z158" s="503">
        <f t="shared" si="275"/>
        <v>1488621</v>
      </c>
      <c r="AA158" s="503">
        <f t="shared" si="275"/>
        <v>503154</v>
      </c>
      <c r="AB158" s="503">
        <f t="shared" si="275"/>
        <v>14686</v>
      </c>
      <c r="AC158" s="503">
        <f t="shared" si="275"/>
        <v>0</v>
      </c>
      <c r="AD158" s="891">
        <f t="shared" si="275"/>
        <v>2006461</v>
      </c>
      <c r="AE158" s="701">
        <f t="shared" si="275"/>
        <v>-0.03</v>
      </c>
      <c r="AF158" s="701">
        <f t="shared" si="275"/>
        <v>3.54</v>
      </c>
      <c r="AG158" s="502">
        <f t="shared" si="275"/>
        <v>0</v>
      </c>
      <c r="AH158" s="502">
        <f t="shared" si="275"/>
        <v>0</v>
      </c>
      <c r="AI158" s="502">
        <f t="shared" si="275"/>
        <v>0</v>
      </c>
      <c r="AJ158" s="502">
        <f t="shared" si="275"/>
        <v>0</v>
      </c>
      <c r="AK158" s="630">
        <f t="shared" si="275"/>
        <v>3.5100000000000002</v>
      </c>
      <c r="AL158" s="629">
        <f t="shared" si="275"/>
        <v>42051545</v>
      </c>
      <c r="AM158" s="503">
        <f t="shared" si="275"/>
        <v>31175656</v>
      </c>
      <c r="AN158" s="552">
        <f t="shared" si="275"/>
        <v>20000</v>
      </c>
      <c r="AO158" s="503">
        <f t="shared" si="275"/>
        <v>10544132</v>
      </c>
      <c r="AP158" s="503">
        <f t="shared" si="275"/>
        <v>311757</v>
      </c>
      <c r="AQ158" s="503">
        <f t="shared" si="275"/>
        <v>0</v>
      </c>
      <c r="AR158" s="630">
        <f t="shared" si="275"/>
        <v>43.318100000000001</v>
      </c>
    </row>
    <row r="159" spans="1:44" ht="14.1" customHeight="1" x14ac:dyDescent="0.2">
      <c r="A159" s="499">
        <v>42</v>
      </c>
      <c r="B159" s="512">
        <v>2482</v>
      </c>
      <c r="C159" s="513">
        <v>600079945</v>
      </c>
      <c r="D159" s="512">
        <v>72741716</v>
      </c>
      <c r="E159" s="511" t="s">
        <v>600</v>
      </c>
      <c r="F159" s="499">
        <v>3113</v>
      </c>
      <c r="G159" s="511" t="s">
        <v>280</v>
      </c>
      <c r="H159" s="495" t="s">
        <v>262</v>
      </c>
      <c r="I159" s="627">
        <f t="shared" si="245"/>
        <v>15649750</v>
      </c>
      <c r="J159" s="14">
        <v>11609607</v>
      </c>
      <c r="K159" s="14">
        <v>3924047</v>
      </c>
      <c r="L159" s="14">
        <v>116096</v>
      </c>
      <c r="M159" s="14">
        <v>0</v>
      </c>
      <c r="N159" s="121">
        <v>15.2271</v>
      </c>
      <c r="O159" s="696">
        <f t="shared" si="246"/>
        <v>-20000</v>
      </c>
      <c r="P159" s="492">
        <v>0</v>
      </c>
      <c r="Q159" s="492">
        <v>0</v>
      </c>
      <c r="R159" s="492">
        <v>0</v>
      </c>
      <c r="S159" s="492">
        <v>0</v>
      </c>
      <c r="T159" s="492">
        <v>0</v>
      </c>
      <c r="U159" s="492">
        <f>O159+P159+Q159+R159+S159+T159</f>
        <v>-20000</v>
      </c>
      <c r="V159" s="492">
        <v>20000</v>
      </c>
      <c r="W159" s="492">
        <v>54916</v>
      </c>
      <c r="X159" s="492">
        <v>0</v>
      </c>
      <c r="Y159" s="492">
        <f t="shared" ref="Y159:Y162" si="276">V159+W159+X159</f>
        <v>74916</v>
      </c>
      <c r="Z159" s="492">
        <f t="shared" ref="Z159:Z162" si="277">U159+Y159</f>
        <v>54916</v>
      </c>
      <c r="AA159" s="494">
        <f t="shared" ref="AA159:AA162" si="278">ROUND((U159+Y159)*33.8%,0)</f>
        <v>18562</v>
      </c>
      <c r="AB159" s="494">
        <f>ROUND(U159*1%,0)</f>
        <v>-200</v>
      </c>
      <c r="AC159" s="14">
        <v>0</v>
      </c>
      <c r="AD159" s="892">
        <f t="shared" si="250"/>
        <v>73278</v>
      </c>
      <c r="AE159" s="702">
        <v>-0.03</v>
      </c>
      <c r="AF159" s="702">
        <v>0</v>
      </c>
      <c r="AG159" s="491">
        <v>0</v>
      </c>
      <c r="AH159" s="491">
        <v>0</v>
      </c>
      <c r="AI159" s="491">
        <v>0</v>
      </c>
      <c r="AJ159" s="491">
        <v>0</v>
      </c>
      <c r="AK159" s="626">
        <f>SUM(AE159:AJ159)</f>
        <v>-0.03</v>
      </c>
      <c r="AL159" s="696">
        <f>I159+AD159</f>
        <v>15723028</v>
      </c>
      <c r="AM159" s="492">
        <f>J159+U159</f>
        <v>11589607</v>
      </c>
      <c r="AN159" s="492">
        <f>Y159</f>
        <v>74916</v>
      </c>
      <c r="AO159" s="492">
        <f t="shared" ref="AO159:AQ162" si="279">K159+AA159</f>
        <v>3942609</v>
      </c>
      <c r="AP159" s="492">
        <f t="shared" si="279"/>
        <v>115896</v>
      </c>
      <c r="AQ159" s="578">
        <f t="shared" si="279"/>
        <v>0</v>
      </c>
      <c r="AR159" s="626">
        <f>N159+AK159</f>
        <v>15.197100000000001</v>
      </c>
    </row>
    <row r="160" spans="1:44" ht="14.1" customHeight="1" x14ac:dyDescent="0.2">
      <c r="A160" s="499">
        <v>42</v>
      </c>
      <c r="B160" s="512">
        <v>2482</v>
      </c>
      <c r="C160" s="513">
        <v>600079945</v>
      </c>
      <c r="D160" s="512">
        <v>72741716</v>
      </c>
      <c r="E160" s="511" t="s">
        <v>600</v>
      </c>
      <c r="F160" s="499">
        <v>3113</v>
      </c>
      <c r="G160" s="511" t="s">
        <v>799</v>
      </c>
      <c r="H160" s="495" t="s">
        <v>262</v>
      </c>
      <c r="I160" s="627">
        <f t="shared" si="245"/>
        <v>380532</v>
      </c>
      <c r="J160" s="490">
        <v>282294</v>
      </c>
      <c r="K160" s="14">
        <v>95415</v>
      </c>
      <c r="L160" s="14">
        <v>2823</v>
      </c>
      <c r="M160" s="14">
        <v>0</v>
      </c>
      <c r="N160" s="682">
        <v>0.5</v>
      </c>
      <c r="O160" s="696">
        <f t="shared" si="246"/>
        <v>0</v>
      </c>
      <c r="P160" s="492">
        <v>0</v>
      </c>
      <c r="Q160" s="492">
        <v>0</v>
      </c>
      <c r="R160" s="492">
        <v>0</v>
      </c>
      <c r="S160" s="492">
        <v>0</v>
      </c>
      <c r="T160" s="492">
        <v>0</v>
      </c>
      <c r="U160" s="492">
        <f>O160+P160+Q160+R160+S160+T160</f>
        <v>0</v>
      </c>
      <c r="V160" s="492">
        <v>0</v>
      </c>
      <c r="W160" s="492">
        <v>0</v>
      </c>
      <c r="X160" s="492">
        <v>0</v>
      </c>
      <c r="Y160" s="492">
        <f t="shared" ref="Y160" si="280">V160+W160+X160</f>
        <v>0</v>
      </c>
      <c r="Z160" s="492">
        <f t="shared" ref="Z160" si="281">U160+Y160</f>
        <v>0</v>
      </c>
      <c r="AA160" s="494">
        <f t="shared" ref="AA160" si="282">ROUND((U160+Y160)*33.8%,0)</f>
        <v>0</v>
      </c>
      <c r="AB160" s="494">
        <f>ROUND(U160*1%,0)</f>
        <v>0</v>
      </c>
      <c r="AC160" s="14">
        <v>0</v>
      </c>
      <c r="AD160" s="892">
        <f t="shared" si="250"/>
        <v>0</v>
      </c>
      <c r="AE160" s="702">
        <v>0</v>
      </c>
      <c r="AF160" s="702">
        <v>0</v>
      </c>
      <c r="AG160" s="491">
        <v>0</v>
      </c>
      <c r="AH160" s="491">
        <v>0</v>
      </c>
      <c r="AI160" s="491">
        <v>0</v>
      </c>
      <c r="AJ160" s="491">
        <v>0</v>
      </c>
      <c r="AK160" s="626">
        <f>SUM(AE160:AJ160)</f>
        <v>0</v>
      </c>
      <c r="AL160" s="696">
        <f>I160+AD160</f>
        <v>380532</v>
      </c>
      <c r="AM160" s="492">
        <f>J160+U160</f>
        <v>282294</v>
      </c>
      <c r="AN160" s="492">
        <f>Y160</f>
        <v>0</v>
      </c>
      <c r="AO160" s="492">
        <f t="shared" si="279"/>
        <v>95415</v>
      </c>
      <c r="AP160" s="492">
        <f t="shared" si="279"/>
        <v>2823</v>
      </c>
      <c r="AQ160" s="578">
        <f t="shared" si="279"/>
        <v>0</v>
      </c>
      <c r="AR160" s="626">
        <f>N160+AK160</f>
        <v>0.5</v>
      </c>
    </row>
    <row r="161" spans="1:44" ht="14.1" customHeight="1" x14ac:dyDescent="0.2">
      <c r="A161" s="499">
        <v>42</v>
      </c>
      <c r="B161" s="512">
        <v>2482</v>
      </c>
      <c r="C161" s="513">
        <v>600079945</v>
      </c>
      <c r="D161" s="512">
        <v>72741716</v>
      </c>
      <c r="E161" s="511" t="s">
        <v>600</v>
      </c>
      <c r="F161" s="499">
        <v>3113</v>
      </c>
      <c r="G161" s="514" t="s">
        <v>278</v>
      </c>
      <c r="H161" s="495" t="s">
        <v>263</v>
      </c>
      <c r="I161" s="627">
        <f t="shared" si="245"/>
        <v>0</v>
      </c>
      <c r="J161" s="490">
        <v>0</v>
      </c>
      <c r="K161" s="14">
        <v>0</v>
      </c>
      <c r="L161" s="14">
        <v>0</v>
      </c>
      <c r="M161" s="14">
        <v>0</v>
      </c>
      <c r="N161" s="682">
        <v>0</v>
      </c>
      <c r="O161" s="696">
        <f t="shared" si="246"/>
        <v>0</v>
      </c>
      <c r="P161" s="490">
        <v>2298024</v>
      </c>
      <c r="Q161" s="492">
        <v>0</v>
      </c>
      <c r="R161" s="492">
        <v>0</v>
      </c>
      <c r="S161" s="492">
        <v>0</v>
      </c>
      <c r="T161" s="492">
        <v>0</v>
      </c>
      <c r="U161" s="492">
        <f>O161+P161+Q161+R161+S161+T161</f>
        <v>2298024</v>
      </c>
      <c r="V161" s="492">
        <v>0</v>
      </c>
      <c r="W161" s="492">
        <v>0</v>
      </c>
      <c r="X161" s="492">
        <v>0</v>
      </c>
      <c r="Y161" s="492">
        <f t="shared" si="276"/>
        <v>0</v>
      </c>
      <c r="Z161" s="492">
        <f t="shared" si="277"/>
        <v>2298024</v>
      </c>
      <c r="AA161" s="494">
        <f t="shared" si="278"/>
        <v>776732</v>
      </c>
      <c r="AB161" s="494">
        <f>ROUND(U161*1%,0)</f>
        <v>22980</v>
      </c>
      <c r="AC161" s="14">
        <v>0</v>
      </c>
      <c r="AD161" s="892">
        <f t="shared" si="250"/>
        <v>3097736</v>
      </c>
      <c r="AE161" s="702">
        <v>0</v>
      </c>
      <c r="AF161" s="121">
        <v>5.4399999999999995</v>
      </c>
      <c r="AG161" s="491">
        <v>0</v>
      </c>
      <c r="AH161" s="491">
        <v>0</v>
      </c>
      <c r="AI161" s="491">
        <v>0</v>
      </c>
      <c r="AJ161" s="491">
        <v>0</v>
      </c>
      <c r="AK161" s="626">
        <f>SUM(AE161:AJ161)</f>
        <v>5.4399999999999995</v>
      </c>
      <c r="AL161" s="696">
        <f>I161+AD161</f>
        <v>3097736</v>
      </c>
      <c r="AM161" s="492">
        <f>J161+U161</f>
        <v>2298024</v>
      </c>
      <c r="AN161" s="492">
        <f>Y161</f>
        <v>0</v>
      </c>
      <c r="AO161" s="492">
        <f t="shared" si="279"/>
        <v>776732</v>
      </c>
      <c r="AP161" s="492">
        <f t="shared" si="279"/>
        <v>22980</v>
      </c>
      <c r="AQ161" s="578">
        <f t="shared" si="279"/>
        <v>0</v>
      </c>
      <c r="AR161" s="626">
        <f>N161+AK161</f>
        <v>5.4399999999999995</v>
      </c>
    </row>
    <row r="162" spans="1:44" ht="14.1" customHeight="1" x14ac:dyDescent="0.2">
      <c r="A162" s="499">
        <v>42</v>
      </c>
      <c r="B162" s="512">
        <v>2482</v>
      </c>
      <c r="C162" s="513">
        <v>600079945</v>
      </c>
      <c r="D162" s="512">
        <v>72741716</v>
      </c>
      <c r="E162" s="511" t="s">
        <v>600</v>
      </c>
      <c r="F162" s="499">
        <v>3143</v>
      </c>
      <c r="G162" s="514" t="s">
        <v>795</v>
      </c>
      <c r="H162" s="495" t="s">
        <v>262</v>
      </c>
      <c r="I162" s="627">
        <f t="shared" si="245"/>
        <v>2238815</v>
      </c>
      <c r="J162" s="14">
        <v>1660842</v>
      </c>
      <c r="K162" s="14">
        <v>561365</v>
      </c>
      <c r="L162" s="14">
        <v>16608</v>
      </c>
      <c r="M162" s="14">
        <v>0</v>
      </c>
      <c r="N162" s="121">
        <v>2.9643000000000002</v>
      </c>
      <c r="O162" s="696">
        <f t="shared" si="246"/>
        <v>0</v>
      </c>
      <c r="P162" s="492">
        <v>0</v>
      </c>
      <c r="Q162" s="492">
        <v>0</v>
      </c>
      <c r="R162" s="492">
        <v>0</v>
      </c>
      <c r="S162" s="492">
        <v>0</v>
      </c>
      <c r="T162" s="492">
        <v>0</v>
      </c>
      <c r="U162" s="492">
        <f>O162+P162+Q162+R162+S162+T162</f>
        <v>0</v>
      </c>
      <c r="V162" s="492">
        <v>0</v>
      </c>
      <c r="W162" s="492">
        <v>0</v>
      </c>
      <c r="X162" s="492">
        <v>0</v>
      </c>
      <c r="Y162" s="492">
        <f t="shared" si="276"/>
        <v>0</v>
      </c>
      <c r="Z162" s="492">
        <f t="shared" si="277"/>
        <v>0</v>
      </c>
      <c r="AA162" s="494">
        <f t="shared" si="278"/>
        <v>0</v>
      </c>
      <c r="AB162" s="494">
        <f>ROUND(U162*1%,0)</f>
        <v>0</v>
      </c>
      <c r="AC162" s="14">
        <v>0</v>
      </c>
      <c r="AD162" s="892">
        <f t="shared" si="250"/>
        <v>0</v>
      </c>
      <c r="AE162" s="702">
        <v>0</v>
      </c>
      <c r="AF162" s="702">
        <v>0</v>
      </c>
      <c r="AG162" s="491">
        <v>0</v>
      </c>
      <c r="AH162" s="491">
        <v>0</v>
      </c>
      <c r="AI162" s="491">
        <v>0</v>
      </c>
      <c r="AJ162" s="491">
        <v>0</v>
      </c>
      <c r="AK162" s="626">
        <f>SUM(AE162:AJ162)</f>
        <v>0</v>
      </c>
      <c r="AL162" s="696">
        <f>I162+AD162</f>
        <v>2238815</v>
      </c>
      <c r="AM162" s="492">
        <f>J162+U162</f>
        <v>1660842</v>
      </c>
      <c r="AN162" s="492">
        <f>Y162</f>
        <v>0</v>
      </c>
      <c r="AO162" s="492">
        <f t="shared" si="279"/>
        <v>561365</v>
      </c>
      <c r="AP162" s="492">
        <f t="shared" si="279"/>
        <v>16608</v>
      </c>
      <c r="AQ162" s="578">
        <f t="shared" si="279"/>
        <v>0</v>
      </c>
      <c r="AR162" s="626">
        <f>N162+AK162</f>
        <v>2.9643000000000002</v>
      </c>
    </row>
    <row r="163" spans="1:44" ht="14.1" customHeight="1" x14ac:dyDescent="0.2">
      <c r="A163" s="510">
        <v>42</v>
      </c>
      <c r="B163" s="508">
        <v>2482</v>
      </c>
      <c r="C163" s="509">
        <v>600079945</v>
      </c>
      <c r="D163" s="508">
        <v>72741716</v>
      </c>
      <c r="E163" s="506" t="s">
        <v>601</v>
      </c>
      <c r="F163" s="510"/>
      <c r="G163" s="506"/>
      <c r="H163" s="505"/>
      <c r="I163" s="629">
        <f t="shared" ref="I163:AR163" si="283">SUM(I159:I162)</f>
        <v>18269097</v>
      </c>
      <c r="J163" s="504">
        <f t="shared" si="283"/>
        <v>13552743</v>
      </c>
      <c r="K163" s="504">
        <f t="shared" si="283"/>
        <v>4580827</v>
      </c>
      <c r="L163" s="504">
        <f t="shared" si="283"/>
        <v>135527</v>
      </c>
      <c r="M163" s="504">
        <f t="shared" si="283"/>
        <v>0</v>
      </c>
      <c r="N163" s="885">
        <f t="shared" si="283"/>
        <v>18.691400000000002</v>
      </c>
      <c r="O163" s="629">
        <f t="shared" si="283"/>
        <v>-20000</v>
      </c>
      <c r="P163" s="503">
        <f t="shared" si="283"/>
        <v>2298024</v>
      </c>
      <c r="Q163" s="503">
        <f t="shared" si="283"/>
        <v>0</v>
      </c>
      <c r="R163" s="503">
        <f t="shared" si="283"/>
        <v>0</v>
      </c>
      <c r="S163" s="503">
        <f t="shared" si="283"/>
        <v>0</v>
      </c>
      <c r="T163" s="503">
        <f t="shared" si="283"/>
        <v>0</v>
      </c>
      <c r="U163" s="503">
        <f t="shared" si="283"/>
        <v>2278024</v>
      </c>
      <c r="V163" s="503">
        <f t="shared" si="283"/>
        <v>20000</v>
      </c>
      <c r="W163" s="503">
        <f t="shared" si="283"/>
        <v>54916</v>
      </c>
      <c r="X163" s="503">
        <f t="shared" si="283"/>
        <v>0</v>
      </c>
      <c r="Y163" s="503">
        <f t="shared" si="283"/>
        <v>74916</v>
      </c>
      <c r="Z163" s="503">
        <f t="shared" si="283"/>
        <v>2352940</v>
      </c>
      <c r="AA163" s="503">
        <f t="shared" si="283"/>
        <v>795294</v>
      </c>
      <c r="AB163" s="503">
        <f t="shared" si="283"/>
        <v>22780</v>
      </c>
      <c r="AC163" s="503">
        <f t="shared" si="283"/>
        <v>0</v>
      </c>
      <c r="AD163" s="891">
        <f t="shared" si="283"/>
        <v>3171014</v>
      </c>
      <c r="AE163" s="701">
        <f t="shared" si="283"/>
        <v>-0.03</v>
      </c>
      <c r="AF163" s="701">
        <f t="shared" si="283"/>
        <v>5.4399999999999995</v>
      </c>
      <c r="AG163" s="502">
        <f t="shared" si="283"/>
        <v>0</v>
      </c>
      <c r="AH163" s="502">
        <f t="shared" si="283"/>
        <v>0</v>
      </c>
      <c r="AI163" s="502">
        <f t="shared" si="283"/>
        <v>0</v>
      </c>
      <c r="AJ163" s="502">
        <f t="shared" si="283"/>
        <v>0</v>
      </c>
      <c r="AK163" s="630">
        <f t="shared" si="283"/>
        <v>5.4099999999999993</v>
      </c>
      <c r="AL163" s="629">
        <f t="shared" si="283"/>
        <v>21440111</v>
      </c>
      <c r="AM163" s="503">
        <f t="shared" si="283"/>
        <v>15830767</v>
      </c>
      <c r="AN163" s="552">
        <f t="shared" si="283"/>
        <v>74916</v>
      </c>
      <c r="AO163" s="503">
        <f t="shared" si="283"/>
        <v>5376121</v>
      </c>
      <c r="AP163" s="503">
        <f t="shared" si="283"/>
        <v>158307</v>
      </c>
      <c r="AQ163" s="503">
        <f t="shared" si="283"/>
        <v>0</v>
      </c>
      <c r="AR163" s="630">
        <f t="shared" si="283"/>
        <v>24.101400000000002</v>
      </c>
    </row>
    <row r="164" spans="1:44" ht="14.1" customHeight="1" x14ac:dyDescent="0.2">
      <c r="A164" s="499">
        <v>43</v>
      </c>
      <c r="B164" s="512">
        <v>2328</v>
      </c>
      <c r="C164" s="513">
        <v>691006041</v>
      </c>
      <c r="D164" s="512">
        <v>71294988</v>
      </c>
      <c r="E164" s="511" t="s">
        <v>602</v>
      </c>
      <c r="F164" s="499">
        <v>3113</v>
      </c>
      <c r="G164" s="511" t="s">
        <v>280</v>
      </c>
      <c r="H164" s="495" t="s">
        <v>262</v>
      </c>
      <c r="I164" s="627">
        <f t="shared" si="245"/>
        <v>29240268</v>
      </c>
      <c r="J164" s="14">
        <v>21691594</v>
      </c>
      <c r="K164" s="14">
        <v>7331758</v>
      </c>
      <c r="L164" s="14">
        <v>216916</v>
      </c>
      <c r="M164" s="14">
        <v>0</v>
      </c>
      <c r="N164" s="121">
        <v>28.636399999999998</v>
      </c>
      <c r="O164" s="696">
        <f t="shared" si="246"/>
        <v>0</v>
      </c>
      <c r="P164" s="492">
        <v>0</v>
      </c>
      <c r="Q164" s="492">
        <v>0</v>
      </c>
      <c r="R164" s="492">
        <v>0</v>
      </c>
      <c r="S164" s="492">
        <v>0</v>
      </c>
      <c r="T164" s="492">
        <v>0</v>
      </c>
      <c r="U164" s="492">
        <f>O164+P164+Q164+R164+S164+T164</f>
        <v>0</v>
      </c>
      <c r="V164" s="492">
        <v>0</v>
      </c>
      <c r="W164" s="492">
        <v>0</v>
      </c>
      <c r="X164" s="492">
        <v>0</v>
      </c>
      <c r="Y164" s="492">
        <f t="shared" ref="Y164:Y166" si="284">V164+W164+X164</f>
        <v>0</v>
      </c>
      <c r="Z164" s="492">
        <f t="shared" ref="Z164:Z166" si="285">U164+Y164</f>
        <v>0</v>
      </c>
      <c r="AA164" s="494">
        <f t="shared" ref="AA164:AA166" si="286">ROUND((U164+Y164)*33.8%,0)</f>
        <v>0</v>
      </c>
      <c r="AB164" s="494">
        <f>ROUND(U164*1%,0)</f>
        <v>0</v>
      </c>
      <c r="AC164" s="14">
        <v>0</v>
      </c>
      <c r="AD164" s="892">
        <f t="shared" si="250"/>
        <v>0</v>
      </c>
      <c r="AE164" s="702">
        <v>0</v>
      </c>
      <c r="AF164" s="702">
        <v>0</v>
      </c>
      <c r="AG164" s="491">
        <v>0</v>
      </c>
      <c r="AH164" s="491">
        <v>0</v>
      </c>
      <c r="AI164" s="491">
        <v>0</v>
      </c>
      <c r="AJ164" s="491">
        <v>0</v>
      </c>
      <c r="AK164" s="626">
        <f>SUM(AE164:AJ164)</f>
        <v>0</v>
      </c>
      <c r="AL164" s="696">
        <f>I164+AD164</f>
        <v>29240268</v>
      </c>
      <c r="AM164" s="492">
        <f>J164+U164</f>
        <v>21691594</v>
      </c>
      <c r="AN164" s="492">
        <f>Y164</f>
        <v>0</v>
      </c>
      <c r="AO164" s="492">
        <f t="shared" ref="AO164:AQ166" si="287">K164+AA164</f>
        <v>7331758</v>
      </c>
      <c r="AP164" s="492">
        <f t="shared" si="287"/>
        <v>216916</v>
      </c>
      <c r="AQ164" s="578">
        <f t="shared" si="287"/>
        <v>0</v>
      </c>
      <c r="AR164" s="626">
        <f>N164+AK164</f>
        <v>28.636399999999998</v>
      </c>
    </row>
    <row r="165" spans="1:44" ht="14.1" customHeight="1" x14ac:dyDescent="0.2">
      <c r="A165" s="499">
        <v>43</v>
      </c>
      <c r="B165" s="512">
        <v>2328</v>
      </c>
      <c r="C165" s="513">
        <v>691006041</v>
      </c>
      <c r="D165" s="512">
        <v>71294988</v>
      </c>
      <c r="E165" s="511" t="s">
        <v>602</v>
      </c>
      <c r="F165" s="499">
        <v>3113</v>
      </c>
      <c r="G165" s="514" t="s">
        <v>278</v>
      </c>
      <c r="H165" s="495" t="s">
        <v>263</v>
      </c>
      <c r="I165" s="627">
        <f t="shared" si="245"/>
        <v>0</v>
      </c>
      <c r="J165" s="490">
        <v>0</v>
      </c>
      <c r="K165" s="14">
        <v>0</v>
      </c>
      <c r="L165" s="14">
        <v>0</v>
      </c>
      <c r="M165" s="14">
        <v>0</v>
      </c>
      <c r="N165" s="682">
        <v>0</v>
      </c>
      <c r="O165" s="696">
        <f t="shared" si="246"/>
        <v>0</v>
      </c>
      <c r="P165" s="490">
        <f>2769230+24283</f>
        <v>2793513</v>
      </c>
      <c r="Q165" s="492">
        <v>0</v>
      </c>
      <c r="R165" s="492">
        <v>0</v>
      </c>
      <c r="S165" s="492">
        <v>0</v>
      </c>
      <c r="T165" s="492">
        <v>0</v>
      </c>
      <c r="U165" s="492">
        <f>O165+P165+Q165+R165+S165+T165</f>
        <v>2793513</v>
      </c>
      <c r="V165" s="492">
        <v>0</v>
      </c>
      <c r="W165" s="492">
        <v>0</v>
      </c>
      <c r="X165" s="492">
        <v>0</v>
      </c>
      <c r="Y165" s="492">
        <f t="shared" si="284"/>
        <v>0</v>
      </c>
      <c r="Z165" s="492">
        <f t="shared" si="285"/>
        <v>2793513</v>
      </c>
      <c r="AA165" s="494">
        <f t="shared" si="286"/>
        <v>944207</v>
      </c>
      <c r="AB165" s="494">
        <f>ROUND(U165*1%,0)</f>
        <v>27935</v>
      </c>
      <c r="AC165" s="14">
        <v>0</v>
      </c>
      <c r="AD165" s="892">
        <f t="shared" si="250"/>
        <v>3765655</v>
      </c>
      <c r="AE165" s="702">
        <v>0</v>
      </c>
      <c r="AF165" s="121">
        <f>6.75+0.05</f>
        <v>6.8</v>
      </c>
      <c r="AG165" s="491">
        <v>0</v>
      </c>
      <c r="AH165" s="491">
        <v>0</v>
      </c>
      <c r="AI165" s="491">
        <v>0</v>
      </c>
      <c r="AJ165" s="491">
        <v>0</v>
      </c>
      <c r="AK165" s="626">
        <f>SUM(AE165:AJ165)</f>
        <v>6.8</v>
      </c>
      <c r="AL165" s="696">
        <f>I165+AD165</f>
        <v>3765655</v>
      </c>
      <c r="AM165" s="492">
        <f>J165+U165</f>
        <v>2793513</v>
      </c>
      <c r="AN165" s="492">
        <f>Y165</f>
        <v>0</v>
      </c>
      <c r="AO165" s="492">
        <f t="shared" si="287"/>
        <v>944207</v>
      </c>
      <c r="AP165" s="492">
        <f t="shared" si="287"/>
        <v>27935</v>
      </c>
      <c r="AQ165" s="578">
        <f t="shared" si="287"/>
        <v>0</v>
      </c>
      <c r="AR165" s="626">
        <f>N165+AK165</f>
        <v>6.8</v>
      </c>
    </row>
    <row r="166" spans="1:44" ht="14.1" customHeight="1" x14ac:dyDescent="0.2">
      <c r="A166" s="499">
        <v>43</v>
      </c>
      <c r="B166" s="512">
        <v>2328</v>
      </c>
      <c r="C166" s="513">
        <v>691006041</v>
      </c>
      <c r="D166" s="512">
        <v>71294988</v>
      </c>
      <c r="E166" s="511" t="s">
        <v>602</v>
      </c>
      <c r="F166" s="499">
        <v>3143</v>
      </c>
      <c r="G166" s="514" t="s">
        <v>794</v>
      </c>
      <c r="H166" s="495" t="s">
        <v>262</v>
      </c>
      <c r="I166" s="627">
        <f t="shared" si="245"/>
        <v>3358118</v>
      </c>
      <c r="J166" s="14">
        <v>2491185</v>
      </c>
      <c r="K166" s="14">
        <v>842021</v>
      </c>
      <c r="L166" s="14">
        <v>24912</v>
      </c>
      <c r="M166" s="14">
        <v>0</v>
      </c>
      <c r="N166" s="121">
        <v>4.7</v>
      </c>
      <c r="O166" s="696">
        <f t="shared" si="246"/>
        <v>0</v>
      </c>
      <c r="P166" s="492">
        <v>0</v>
      </c>
      <c r="Q166" s="492">
        <v>0</v>
      </c>
      <c r="R166" s="492">
        <v>0</v>
      </c>
      <c r="S166" s="492">
        <v>0</v>
      </c>
      <c r="T166" s="492">
        <v>0</v>
      </c>
      <c r="U166" s="492">
        <f>O166+P166+Q166+R166+S166+T166</f>
        <v>0</v>
      </c>
      <c r="V166" s="492">
        <v>0</v>
      </c>
      <c r="W166" s="492">
        <v>0</v>
      </c>
      <c r="X166" s="492">
        <v>0</v>
      </c>
      <c r="Y166" s="492">
        <f t="shared" si="284"/>
        <v>0</v>
      </c>
      <c r="Z166" s="492">
        <f t="shared" si="285"/>
        <v>0</v>
      </c>
      <c r="AA166" s="494">
        <f t="shared" si="286"/>
        <v>0</v>
      </c>
      <c r="AB166" s="494">
        <f>ROUND(U166*1%,0)</f>
        <v>0</v>
      </c>
      <c r="AC166" s="14">
        <v>0</v>
      </c>
      <c r="AD166" s="892">
        <f t="shared" si="250"/>
        <v>0</v>
      </c>
      <c r="AE166" s="702">
        <v>0</v>
      </c>
      <c r="AF166" s="702">
        <v>0</v>
      </c>
      <c r="AG166" s="491">
        <v>0</v>
      </c>
      <c r="AH166" s="491">
        <v>0</v>
      </c>
      <c r="AI166" s="491">
        <v>0</v>
      </c>
      <c r="AJ166" s="491">
        <v>0</v>
      </c>
      <c r="AK166" s="626">
        <f>SUM(AE166:AJ166)</f>
        <v>0</v>
      </c>
      <c r="AL166" s="696">
        <f>I166+AD166</f>
        <v>3358118</v>
      </c>
      <c r="AM166" s="492">
        <f>J166+U166</f>
        <v>2491185</v>
      </c>
      <c r="AN166" s="492">
        <f>Y166</f>
        <v>0</v>
      </c>
      <c r="AO166" s="492">
        <f t="shared" si="287"/>
        <v>842021</v>
      </c>
      <c r="AP166" s="492">
        <f t="shared" si="287"/>
        <v>24912</v>
      </c>
      <c r="AQ166" s="578">
        <f t="shared" si="287"/>
        <v>0</v>
      </c>
      <c r="AR166" s="626">
        <f>N166+AK166</f>
        <v>4.7</v>
      </c>
    </row>
    <row r="167" spans="1:44" ht="14.1" customHeight="1" x14ac:dyDescent="0.2">
      <c r="A167" s="510">
        <v>43</v>
      </c>
      <c r="B167" s="508">
        <v>2328</v>
      </c>
      <c r="C167" s="509">
        <v>691006041</v>
      </c>
      <c r="D167" s="508">
        <v>71294988</v>
      </c>
      <c r="E167" s="506" t="s">
        <v>603</v>
      </c>
      <c r="F167" s="510"/>
      <c r="G167" s="506"/>
      <c r="H167" s="505"/>
      <c r="I167" s="629">
        <f t="shared" ref="I167:AR167" si="288">SUM(I164:I166)</f>
        <v>32598386</v>
      </c>
      <c r="J167" s="504">
        <f t="shared" si="288"/>
        <v>24182779</v>
      </c>
      <c r="K167" s="504">
        <f t="shared" si="288"/>
        <v>8173779</v>
      </c>
      <c r="L167" s="504">
        <f t="shared" si="288"/>
        <v>241828</v>
      </c>
      <c r="M167" s="504">
        <f t="shared" si="288"/>
        <v>0</v>
      </c>
      <c r="N167" s="885">
        <f t="shared" si="288"/>
        <v>33.336399999999998</v>
      </c>
      <c r="O167" s="629">
        <f t="shared" si="288"/>
        <v>0</v>
      </c>
      <c r="P167" s="503">
        <f t="shared" si="288"/>
        <v>2793513</v>
      </c>
      <c r="Q167" s="503">
        <f t="shared" si="288"/>
        <v>0</v>
      </c>
      <c r="R167" s="503">
        <f t="shared" si="288"/>
        <v>0</v>
      </c>
      <c r="S167" s="503">
        <f t="shared" si="288"/>
        <v>0</v>
      </c>
      <c r="T167" s="503">
        <f t="shared" si="288"/>
        <v>0</v>
      </c>
      <c r="U167" s="503">
        <f t="shared" si="288"/>
        <v>2793513</v>
      </c>
      <c r="V167" s="503">
        <f t="shared" si="288"/>
        <v>0</v>
      </c>
      <c r="W167" s="503">
        <f t="shared" si="288"/>
        <v>0</v>
      </c>
      <c r="X167" s="503">
        <f t="shared" si="288"/>
        <v>0</v>
      </c>
      <c r="Y167" s="503">
        <f t="shared" si="288"/>
        <v>0</v>
      </c>
      <c r="Z167" s="503">
        <f t="shared" si="288"/>
        <v>2793513</v>
      </c>
      <c r="AA167" s="503">
        <f t="shared" si="288"/>
        <v>944207</v>
      </c>
      <c r="AB167" s="503">
        <f t="shared" si="288"/>
        <v>27935</v>
      </c>
      <c r="AC167" s="503">
        <f t="shared" si="288"/>
        <v>0</v>
      </c>
      <c r="AD167" s="891">
        <f t="shared" si="288"/>
        <v>3765655</v>
      </c>
      <c r="AE167" s="701">
        <f t="shared" si="288"/>
        <v>0</v>
      </c>
      <c r="AF167" s="701">
        <f t="shared" si="288"/>
        <v>6.8</v>
      </c>
      <c r="AG167" s="502">
        <f t="shared" si="288"/>
        <v>0</v>
      </c>
      <c r="AH167" s="502">
        <f t="shared" si="288"/>
        <v>0</v>
      </c>
      <c r="AI167" s="502">
        <f t="shared" si="288"/>
        <v>0</v>
      </c>
      <c r="AJ167" s="502">
        <f t="shared" si="288"/>
        <v>0</v>
      </c>
      <c r="AK167" s="630">
        <f t="shared" si="288"/>
        <v>6.8</v>
      </c>
      <c r="AL167" s="629">
        <f t="shared" si="288"/>
        <v>36364041</v>
      </c>
      <c r="AM167" s="503">
        <f t="shared" si="288"/>
        <v>26976292</v>
      </c>
      <c r="AN167" s="552">
        <f t="shared" si="288"/>
        <v>0</v>
      </c>
      <c r="AO167" s="503">
        <f t="shared" si="288"/>
        <v>9117986</v>
      </c>
      <c r="AP167" s="503">
        <f t="shared" si="288"/>
        <v>269763</v>
      </c>
      <c r="AQ167" s="503">
        <f t="shared" si="288"/>
        <v>0</v>
      </c>
      <c r="AR167" s="630">
        <f t="shared" si="288"/>
        <v>40.136400000000002</v>
      </c>
    </row>
    <row r="168" spans="1:44" ht="14.1" customHeight="1" x14ac:dyDescent="0.2">
      <c r="A168" s="499">
        <v>44</v>
      </c>
      <c r="B168" s="512">
        <v>2486</v>
      </c>
      <c r="C168" s="513">
        <v>600079970</v>
      </c>
      <c r="D168" s="512">
        <v>46744908</v>
      </c>
      <c r="E168" s="511" t="s">
        <v>604</v>
      </c>
      <c r="F168" s="499">
        <v>3113</v>
      </c>
      <c r="G168" s="511" t="s">
        <v>280</v>
      </c>
      <c r="H168" s="495" t="s">
        <v>262</v>
      </c>
      <c r="I168" s="627">
        <f t="shared" si="245"/>
        <v>19406890</v>
      </c>
      <c r="J168" s="14">
        <v>14396803</v>
      </c>
      <c r="K168" s="14">
        <v>4866119</v>
      </c>
      <c r="L168" s="14">
        <v>143968</v>
      </c>
      <c r="M168" s="14">
        <v>0</v>
      </c>
      <c r="N168" s="121">
        <v>18.591000000000001</v>
      </c>
      <c r="O168" s="696">
        <f t="shared" si="246"/>
        <v>-215000</v>
      </c>
      <c r="P168" s="492">
        <v>0</v>
      </c>
      <c r="Q168" s="492">
        <v>50040</v>
      </c>
      <c r="R168" s="492">
        <v>0</v>
      </c>
      <c r="S168" s="492">
        <v>0</v>
      </c>
      <c r="T168" s="492">
        <v>0</v>
      </c>
      <c r="U168" s="492">
        <f>O168+P168+Q168+R168+S168+T168</f>
        <v>-164960</v>
      </c>
      <c r="V168" s="492">
        <v>215000</v>
      </c>
      <c r="W168" s="492">
        <v>0</v>
      </c>
      <c r="X168" s="492">
        <v>0</v>
      </c>
      <c r="Y168" s="492">
        <f t="shared" ref="Y168:Y171" si="289">V168+W168+X168</f>
        <v>215000</v>
      </c>
      <c r="Z168" s="492">
        <f t="shared" ref="Z168:Z171" si="290">U168+Y168</f>
        <v>50040</v>
      </c>
      <c r="AA168" s="494">
        <f t="shared" ref="AA168:AA171" si="291">ROUND((U168+Y168)*33.8%,0)</f>
        <v>16914</v>
      </c>
      <c r="AB168" s="494">
        <f t="shared" ref="AB168:AB171" si="292">ROUND(U168*1%,0)</f>
        <v>-1650</v>
      </c>
      <c r="AC168" s="14">
        <v>0</v>
      </c>
      <c r="AD168" s="892">
        <f t="shared" si="250"/>
        <v>65304</v>
      </c>
      <c r="AE168" s="702">
        <v>-0.27</v>
      </c>
      <c r="AF168" s="702">
        <v>0</v>
      </c>
      <c r="AG168" s="491">
        <v>0</v>
      </c>
      <c r="AH168" s="491">
        <v>7.0000000000000007E-2</v>
      </c>
      <c r="AI168" s="491">
        <v>0</v>
      </c>
      <c r="AJ168" s="491">
        <v>0</v>
      </c>
      <c r="AK168" s="626">
        <f>SUM(AE168:AJ168)</f>
        <v>-0.2</v>
      </c>
      <c r="AL168" s="696">
        <f>I168+AD168</f>
        <v>19472194</v>
      </c>
      <c r="AM168" s="492">
        <f>J168+U168</f>
        <v>14231843</v>
      </c>
      <c r="AN168" s="492">
        <f>Y168</f>
        <v>215000</v>
      </c>
      <c r="AO168" s="492">
        <f t="shared" ref="AO168:AQ171" si="293">K168+AA168</f>
        <v>4883033</v>
      </c>
      <c r="AP168" s="492">
        <f t="shared" si="293"/>
        <v>142318</v>
      </c>
      <c r="AQ168" s="578">
        <f t="shared" si="293"/>
        <v>0</v>
      </c>
      <c r="AR168" s="626">
        <f>N168+AK168</f>
        <v>18.391000000000002</v>
      </c>
    </row>
    <row r="169" spans="1:44" ht="14.1" customHeight="1" x14ac:dyDescent="0.2">
      <c r="A169" s="499">
        <v>44</v>
      </c>
      <c r="B169" s="512">
        <v>2486</v>
      </c>
      <c r="C169" s="513">
        <v>600079970</v>
      </c>
      <c r="D169" s="512">
        <v>46744908</v>
      </c>
      <c r="E169" s="511" t="s">
        <v>604</v>
      </c>
      <c r="F169" s="499">
        <v>3113</v>
      </c>
      <c r="G169" s="514" t="s">
        <v>278</v>
      </c>
      <c r="H169" s="495" t="s">
        <v>263</v>
      </c>
      <c r="I169" s="627">
        <f t="shared" si="245"/>
        <v>0</v>
      </c>
      <c r="J169" s="490">
        <v>0</v>
      </c>
      <c r="K169" s="14">
        <v>0</v>
      </c>
      <c r="L169" s="14">
        <v>0</v>
      </c>
      <c r="M169" s="14">
        <v>0</v>
      </c>
      <c r="N169" s="682">
        <v>0</v>
      </c>
      <c r="O169" s="696">
        <f t="shared" si="246"/>
        <v>0</v>
      </c>
      <c r="P169" s="490">
        <v>1587572</v>
      </c>
      <c r="Q169" s="492">
        <v>0</v>
      </c>
      <c r="R169" s="492">
        <v>0</v>
      </c>
      <c r="S169" s="492">
        <v>0</v>
      </c>
      <c r="T169" s="492">
        <v>0</v>
      </c>
      <c r="U169" s="492">
        <f>O169+P169+Q169+R169+S169+T169</f>
        <v>1587572</v>
      </c>
      <c r="V169" s="492">
        <v>0</v>
      </c>
      <c r="W169" s="492">
        <v>0</v>
      </c>
      <c r="X169" s="492">
        <v>0</v>
      </c>
      <c r="Y169" s="492">
        <f t="shared" si="289"/>
        <v>0</v>
      </c>
      <c r="Z169" s="492">
        <f t="shared" si="290"/>
        <v>1587572</v>
      </c>
      <c r="AA169" s="494">
        <f t="shared" si="291"/>
        <v>536599</v>
      </c>
      <c r="AB169" s="494">
        <f t="shared" si="292"/>
        <v>15876</v>
      </c>
      <c r="AC169" s="14">
        <v>0</v>
      </c>
      <c r="AD169" s="892">
        <f t="shared" si="250"/>
        <v>2140047</v>
      </c>
      <c r="AE169" s="702">
        <v>0</v>
      </c>
      <c r="AF169" s="121">
        <v>3.92</v>
      </c>
      <c r="AG169" s="491">
        <v>0</v>
      </c>
      <c r="AH169" s="491">
        <v>0</v>
      </c>
      <c r="AI169" s="491">
        <v>0</v>
      </c>
      <c r="AJ169" s="491">
        <v>0</v>
      </c>
      <c r="AK169" s="626">
        <f>SUM(AE169:AJ169)</f>
        <v>3.92</v>
      </c>
      <c r="AL169" s="696">
        <f>I169+AD169</f>
        <v>2140047</v>
      </c>
      <c r="AM169" s="492">
        <f>J169+U169</f>
        <v>1587572</v>
      </c>
      <c r="AN169" s="492">
        <f>Y169</f>
        <v>0</v>
      </c>
      <c r="AO169" s="492">
        <f t="shared" si="293"/>
        <v>536599</v>
      </c>
      <c r="AP169" s="492">
        <f t="shared" si="293"/>
        <v>15876</v>
      </c>
      <c r="AQ169" s="578">
        <f t="shared" si="293"/>
        <v>0</v>
      </c>
      <c r="AR169" s="626">
        <f>N169+AK169</f>
        <v>3.92</v>
      </c>
    </row>
    <row r="170" spans="1:44" ht="14.1" customHeight="1" x14ac:dyDescent="0.2">
      <c r="A170" s="499">
        <v>44</v>
      </c>
      <c r="B170" s="512">
        <v>2486</v>
      </c>
      <c r="C170" s="513">
        <v>600079970</v>
      </c>
      <c r="D170" s="512">
        <v>46744908</v>
      </c>
      <c r="E170" s="511" t="s">
        <v>604</v>
      </c>
      <c r="F170" s="499">
        <v>3143</v>
      </c>
      <c r="G170" s="514" t="s">
        <v>794</v>
      </c>
      <c r="H170" s="495" t="s">
        <v>262</v>
      </c>
      <c r="I170" s="627">
        <f t="shared" si="245"/>
        <v>2233851</v>
      </c>
      <c r="J170" s="14">
        <v>1657159</v>
      </c>
      <c r="K170" s="14">
        <v>560120</v>
      </c>
      <c r="L170" s="14">
        <v>16572</v>
      </c>
      <c r="M170" s="14">
        <v>0</v>
      </c>
      <c r="N170" s="121">
        <v>3</v>
      </c>
      <c r="O170" s="696">
        <f t="shared" si="246"/>
        <v>-15000</v>
      </c>
      <c r="P170" s="492">
        <v>0</v>
      </c>
      <c r="Q170" s="492">
        <v>0</v>
      </c>
      <c r="R170" s="492">
        <v>0</v>
      </c>
      <c r="S170" s="492">
        <v>0</v>
      </c>
      <c r="T170" s="492">
        <v>0</v>
      </c>
      <c r="U170" s="492">
        <f>O170+P170+Q170+R170+S170+T170</f>
        <v>-15000</v>
      </c>
      <c r="V170" s="492">
        <v>15000</v>
      </c>
      <c r="W170" s="492">
        <v>0</v>
      </c>
      <c r="X170" s="492">
        <v>0</v>
      </c>
      <c r="Y170" s="492">
        <f t="shared" si="289"/>
        <v>15000</v>
      </c>
      <c r="Z170" s="492">
        <f t="shared" si="290"/>
        <v>0</v>
      </c>
      <c r="AA170" s="494">
        <f t="shared" si="291"/>
        <v>0</v>
      </c>
      <c r="AB170" s="494">
        <f t="shared" si="292"/>
        <v>-150</v>
      </c>
      <c r="AC170" s="14">
        <v>0</v>
      </c>
      <c r="AD170" s="892">
        <f t="shared" si="250"/>
        <v>-150</v>
      </c>
      <c r="AE170" s="702">
        <v>0</v>
      </c>
      <c r="AF170" s="702">
        <v>0</v>
      </c>
      <c r="AG170" s="491">
        <v>0</v>
      </c>
      <c r="AH170" s="491">
        <v>0</v>
      </c>
      <c r="AI170" s="491">
        <v>0</v>
      </c>
      <c r="AJ170" s="491">
        <v>0</v>
      </c>
      <c r="AK170" s="626">
        <f>SUM(AE170:AJ170)</f>
        <v>0</v>
      </c>
      <c r="AL170" s="696">
        <f>I170+AD170</f>
        <v>2233701</v>
      </c>
      <c r="AM170" s="492">
        <f>J170+U170</f>
        <v>1642159</v>
      </c>
      <c r="AN170" s="492">
        <f>Y170</f>
        <v>15000</v>
      </c>
      <c r="AO170" s="492">
        <f t="shared" si="293"/>
        <v>560120</v>
      </c>
      <c r="AP170" s="492">
        <f t="shared" si="293"/>
        <v>16422</v>
      </c>
      <c r="AQ170" s="578">
        <f t="shared" si="293"/>
        <v>0</v>
      </c>
      <c r="AR170" s="626">
        <f>N170+AK170</f>
        <v>3</v>
      </c>
    </row>
    <row r="171" spans="1:44" ht="14.1" customHeight="1" x14ac:dyDescent="0.2">
      <c r="A171" s="499">
        <v>44</v>
      </c>
      <c r="B171" s="512">
        <v>2486</v>
      </c>
      <c r="C171" s="513">
        <v>600079970</v>
      </c>
      <c r="D171" s="512">
        <v>46744908</v>
      </c>
      <c r="E171" s="511" t="s">
        <v>604</v>
      </c>
      <c r="F171" s="499">
        <v>3233</v>
      </c>
      <c r="G171" s="511" t="s">
        <v>283</v>
      </c>
      <c r="H171" s="495" t="s">
        <v>263</v>
      </c>
      <c r="I171" s="627">
        <f t="shared" si="245"/>
        <v>281454</v>
      </c>
      <c r="J171" s="490">
        <v>208794</v>
      </c>
      <c r="K171" s="14">
        <f>ROUND(J171*33.8%,0)</f>
        <v>70572</v>
      </c>
      <c r="L171" s="14">
        <f>ROUND(J171*1%,0)</f>
        <v>2088</v>
      </c>
      <c r="M171" s="14">
        <v>0</v>
      </c>
      <c r="N171" s="682">
        <v>0.35</v>
      </c>
      <c r="O171" s="696">
        <f t="shared" si="246"/>
        <v>-100000</v>
      </c>
      <c r="P171" s="492">
        <v>0</v>
      </c>
      <c r="Q171" s="492">
        <v>0</v>
      </c>
      <c r="R171" s="492">
        <v>0</v>
      </c>
      <c r="S171" s="492">
        <v>0</v>
      </c>
      <c r="T171" s="492">
        <v>0</v>
      </c>
      <c r="U171" s="492">
        <f>O171+P171+Q171+R171+S171+T171</f>
        <v>-100000</v>
      </c>
      <c r="V171" s="492">
        <v>100000</v>
      </c>
      <c r="W171" s="492">
        <v>0</v>
      </c>
      <c r="X171" s="492">
        <v>0</v>
      </c>
      <c r="Y171" s="492">
        <f t="shared" si="289"/>
        <v>100000</v>
      </c>
      <c r="Z171" s="492">
        <f t="shared" si="290"/>
        <v>0</v>
      </c>
      <c r="AA171" s="494">
        <f t="shared" si="291"/>
        <v>0</v>
      </c>
      <c r="AB171" s="494">
        <f t="shared" si="292"/>
        <v>-1000</v>
      </c>
      <c r="AC171" s="14">
        <v>0</v>
      </c>
      <c r="AD171" s="892">
        <f t="shared" si="250"/>
        <v>-1000</v>
      </c>
      <c r="AE171" s="702">
        <v>-0.17</v>
      </c>
      <c r="AF171" s="702">
        <v>0</v>
      </c>
      <c r="AG171" s="491">
        <v>0</v>
      </c>
      <c r="AH171" s="491">
        <v>0</v>
      </c>
      <c r="AI171" s="491">
        <v>0</v>
      </c>
      <c r="AJ171" s="491">
        <v>0</v>
      </c>
      <c r="AK171" s="626">
        <f>SUM(AE171:AJ171)</f>
        <v>-0.17</v>
      </c>
      <c r="AL171" s="696">
        <f>I171+AD171</f>
        <v>280454</v>
      </c>
      <c r="AM171" s="492">
        <f>J171+U171</f>
        <v>108794</v>
      </c>
      <c r="AN171" s="492">
        <f>Y171</f>
        <v>100000</v>
      </c>
      <c r="AO171" s="492">
        <f t="shared" si="293"/>
        <v>70572</v>
      </c>
      <c r="AP171" s="492">
        <f t="shared" si="293"/>
        <v>1088</v>
      </c>
      <c r="AQ171" s="578">
        <f t="shared" si="293"/>
        <v>0</v>
      </c>
      <c r="AR171" s="626">
        <f>N171+AK171</f>
        <v>0.17999999999999997</v>
      </c>
    </row>
    <row r="172" spans="1:44" ht="14.1" customHeight="1" x14ac:dyDescent="0.2">
      <c r="A172" s="510">
        <v>44</v>
      </c>
      <c r="B172" s="508">
        <v>2486</v>
      </c>
      <c r="C172" s="509">
        <v>600079970</v>
      </c>
      <c r="D172" s="508">
        <v>46744908</v>
      </c>
      <c r="E172" s="506" t="s">
        <v>605</v>
      </c>
      <c r="F172" s="510"/>
      <c r="G172" s="506"/>
      <c r="H172" s="505"/>
      <c r="I172" s="629">
        <f t="shared" ref="I172:AR172" si="294">SUM(I168:I171)</f>
        <v>21922195</v>
      </c>
      <c r="J172" s="504">
        <f t="shared" si="294"/>
        <v>16262756</v>
      </c>
      <c r="K172" s="504">
        <f t="shared" si="294"/>
        <v>5496811</v>
      </c>
      <c r="L172" s="504">
        <f t="shared" si="294"/>
        <v>162628</v>
      </c>
      <c r="M172" s="504">
        <f t="shared" si="294"/>
        <v>0</v>
      </c>
      <c r="N172" s="885">
        <f t="shared" si="294"/>
        <v>21.941000000000003</v>
      </c>
      <c r="O172" s="629">
        <f t="shared" si="294"/>
        <v>-330000</v>
      </c>
      <c r="P172" s="503">
        <f t="shared" si="294"/>
        <v>1587572</v>
      </c>
      <c r="Q172" s="503">
        <f t="shared" si="294"/>
        <v>50040</v>
      </c>
      <c r="R172" s="503">
        <f t="shared" si="294"/>
        <v>0</v>
      </c>
      <c r="S172" s="503">
        <f t="shared" si="294"/>
        <v>0</v>
      </c>
      <c r="T172" s="503">
        <f t="shared" si="294"/>
        <v>0</v>
      </c>
      <c r="U172" s="503">
        <f t="shared" si="294"/>
        <v>1307612</v>
      </c>
      <c r="V172" s="503">
        <f t="shared" si="294"/>
        <v>330000</v>
      </c>
      <c r="W172" s="503">
        <f t="shared" si="294"/>
        <v>0</v>
      </c>
      <c r="X172" s="503">
        <f t="shared" si="294"/>
        <v>0</v>
      </c>
      <c r="Y172" s="503">
        <f t="shared" si="294"/>
        <v>330000</v>
      </c>
      <c r="Z172" s="503">
        <f t="shared" si="294"/>
        <v>1637612</v>
      </c>
      <c r="AA172" s="503">
        <f t="shared" si="294"/>
        <v>553513</v>
      </c>
      <c r="AB172" s="503">
        <f t="shared" si="294"/>
        <v>13076</v>
      </c>
      <c r="AC172" s="503">
        <f t="shared" si="294"/>
        <v>0</v>
      </c>
      <c r="AD172" s="891">
        <f t="shared" si="294"/>
        <v>2204201</v>
      </c>
      <c r="AE172" s="701">
        <f t="shared" si="294"/>
        <v>-0.44000000000000006</v>
      </c>
      <c r="AF172" s="701">
        <f t="shared" si="294"/>
        <v>3.92</v>
      </c>
      <c r="AG172" s="502">
        <f t="shared" si="294"/>
        <v>0</v>
      </c>
      <c r="AH172" s="502">
        <f t="shared" si="294"/>
        <v>7.0000000000000007E-2</v>
      </c>
      <c r="AI172" s="502">
        <f t="shared" si="294"/>
        <v>0</v>
      </c>
      <c r="AJ172" s="502">
        <f t="shared" si="294"/>
        <v>0</v>
      </c>
      <c r="AK172" s="630">
        <f t="shared" si="294"/>
        <v>3.55</v>
      </c>
      <c r="AL172" s="629">
        <f t="shared" si="294"/>
        <v>24126396</v>
      </c>
      <c r="AM172" s="503">
        <f t="shared" si="294"/>
        <v>17570368</v>
      </c>
      <c r="AN172" s="552">
        <f t="shared" si="294"/>
        <v>330000</v>
      </c>
      <c r="AO172" s="503">
        <f t="shared" si="294"/>
        <v>6050324</v>
      </c>
      <c r="AP172" s="503">
        <f t="shared" si="294"/>
        <v>175704</v>
      </c>
      <c r="AQ172" s="503">
        <f t="shared" si="294"/>
        <v>0</v>
      </c>
      <c r="AR172" s="630">
        <f t="shared" si="294"/>
        <v>25.491</v>
      </c>
    </row>
    <row r="173" spans="1:44" ht="14.1" customHeight="1" x14ac:dyDescent="0.2">
      <c r="A173" s="499">
        <v>45</v>
      </c>
      <c r="B173" s="512">
        <v>2487</v>
      </c>
      <c r="C173" s="513">
        <v>600079996</v>
      </c>
      <c r="D173" s="512">
        <v>68974639</v>
      </c>
      <c r="E173" s="511" t="s">
        <v>606</v>
      </c>
      <c r="F173" s="499">
        <v>3113</v>
      </c>
      <c r="G173" s="511" t="s">
        <v>280</v>
      </c>
      <c r="H173" s="495" t="s">
        <v>262</v>
      </c>
      <c r="I173" s="627">
        <f t="shared" si="245"/>
        <v>27563004</v>
      </c>
      <c r="J173" s="14">
        <v>20447332</v>
      </c>
      <c r="K173" s="14">
        <v>6911198</v>
      </c>
      <c r="L173" s="14">
        <v>204474</v>
      </c>
      <c r="M173" s="14">
        <v>0</v>
      </c>
      <c r="N173" s="121">
        <v>27.591100000000001</v>
      </c>
      <c r="O173" s="696">
        <f t="shared" si="246"/>
        <v>-50000</v>
      </c>
      <c r="P173" s="492">
        <v>0</v>
      </c>
      <c r="Q173" s="492">
        <v>0</v>
      </c>
      <c r="R173" s="492">
        <v>0</v>
      </c>
      <c r="S173" s="492">
        <v>0</v>
      </c>
      <c r="T173" s="492">
        <v>0</v>
      </c>
      <c r="U173" s="492">
        <f>O173+P173+Q173+R173+S173+T173</f>
        <v>-50000</v>
      </c>
      <c r="V173" s="492">
        <v>50000</v>
      </c>
      <c r="W173" s="492">
        <v>0</v>
      </c>
      <c r="X173" s="492">
        <v>0</v>
      </c>
      <c r="Y173" s="492">
        <f t="shared" ref="Y173:Y176" si="295">V173+W173+X173</f>
        <v>50000</v>
      </c>
      <c r="Z173" s="492">
        <f t="shared" ref="Z173:Z176" si="296">U173+Y173</f>
        <v>0</v>
      </c>
      <c r="AA173" s="494">
        <f t="shared" ref="AA173:AA176" si="297">ROUND((U173+Y173)*33.8%,0)</f>
        <v>0</v>
      </c>
      <c r="AB173" s="494">
        <f>ROUND(U173*1%,0)</f>
        <v>-500</v>
      </c>
      <c r="AC173" s="14">
        <v>0</v>
      </c>
      <c r="AD173" s="892">
        <f t="shared" si="250"/>
        <v>-500</v>
      </c>
      <c r="AE173" s="702">
        <v>-0.05</v>
      </c>
      <c r="AF173" s="702">
        <v>0</v>
      </c>
      <c r="AG173" s="491">
        <v>0</v>
      </c>
      <c r="AH173" s="491">
        <v>0</v>
      </c>
      <c r="AI173" s="491">
        <v>0</v>
      </c>
      <c r="AJ173" s="491">
        <v>0</v>
      </c>
      <c r="AK173" s="626">
        <f>SUM(AE173:AJ173)</f>
        <v>-0.05</v>
      </c>
      <c r="AL173" s="696">
        <f>I173+AD173</f>
        <v>27562504</v>
      </c>
      <c r="AM173" s="492">
        <f>J173+U173</f>
        <v>20397332</v>
      </c>
      <c r="AN173" s="492">
        <f>Y173</f>
        <v>50000</v>
      </c>
      <c r="AO173" s="492">
        <f t="shared" ref="AO173:AQ176" si="298">K173+AA173</f>
        <v>6911198</v>
      </c>
      <c r="AP173" s="492">
        <f t="shared" si="298"/>
        <v>203974</v>
      </c>
      <c r="AQ173" s="578">
        <f t="shared" si="298"/>
        <v>0</v>
      </c>
      <c r="AR173" s="626">
        <f>N173+AK173</f>
        <v>27.5411</v>
      </c>
    </row>
    <row r="174" spans="1:44" ht="14.1" customHeight="1" x14ac:dyDescent="0.2">
      <c r="A174" s="499">
        <v>45</v>
      </c>
      <c r="B174" s="512">
        <v>2487</v>
      </c>
      <c r="C174" s="513">
        <v>600079996</v>
      </c>
      <c r="D174" s="512">
        <v>68974639</v>
      </c>
      <c r="E174" s="511" t="s">
        <v>606</v>
      </c>
      <c r="F174" s="499">
        <v>3113</v>
      </c>
      <c r="G174" s="511" t="s">
        <v>799</v>
      </c>
      <c r="H174" s="495" t="s">
        <v>262</v>
      </c>
      <c r="I174" s="627">
        <f t="shared" si="245"/>
        <v>575464</v>
      </c>
      <c r="J174" s="14">
        <v>426902</v>
      </c>
      <c r="K174" s="14">
        <v>144293</v>
      </c>
      <c r="L174" s="14">
        <v>4269</v>
      </c>
      <c r="M174" s="14">
        <v>0</v>
      </c>
      <c r="N174" s="121">
        <v>0.8</v>
      </c>
      <c r="O174" s="696">
        <f t="shared" si="246"/>
        <v>0</v>
      </c>
      <c r="P174" s="492">
        <v>0</v>
      </c>
      <c r="Q174" s="492">
        <v>0</v>
      </c>
      <c r="R174" s="492">
        <v>0</v>
      </c>
      <c r="S174" s="492">
        <v>0</v>
      </c>
      <c r="T174" s="492">
        <v>0</v>
      </c>
      <c r="U174" s="492">
        <f>O174+P174+Q174+R174+S174+T174</f>
        <v>0</v>
      </c>
      <c r="V174" s="492">
        <v>0</v>
      </c>
      <c r="W174" s="492">
        <v>0</v>
      </c>
      <c r="X174" s="492">
        <v>0</v>
      </c>
      <c r="Y174" s="492">
        <f t="shared" ref="Y174" si="299">V174+W174+X174</f>
        <v>0</v>
      </c>
      <c r="Z174" s="492">
        <f t="shared" ref="Z174" si="300">U174+Y174</f>
        <v>0</v>
      </c>
      <c r="AA174" s="494">
        <f t="shared" ref="AA174" si="301">ROUND((U174+Y174)*33.8%,0)</f>
        <v>0</v>
      </c>
      <c r="AB174" s="494">
        <f>ROUND(U174*1%,0)</f>
        <v>0</v>
      </c>
      <c r="AC174" s="14">
        <v>0</v>
      </c>
      <c r="AD174" s="892">
        <f t="shared" si="250"/>
        <v>0</v>
      </c>
      <c r="AE174" s="702">
        <v>0</v>
      </c>
      <c r="AF174" s="702">
        <v>0</v>
      </c>
      <c r="AG174" s="491">
        <v>0</v>
      </c>
      <c r="AH174" s="491">
        <v>0</v>
      </c>
      <c r="AI174" s="491">
        <v>0</v>
      </c>
      <c r="AJ174" s="491">
        <v>0</v>
      </c>
      <c r="AK174" s="626">
        <f>SUM(AE174:AJ174)</f>
        <v>0</v>
      </c>
      <c r="AL174" s="696">
        <f>I174+AD174</f>
        <v>575464</v>
      </c>
      <c r="AM174" s="492">
        <f>J174+U174</f>
        <v>426902</v>
      </c>
      <c r="AN174" s="492">
        <f>Y174</f>
        <v>0</v>
      </c>
      <c r="AO174" s="492">
        <f t="shared" si="298"/>
        <v>144293</v>
      </c>
      <c r="AP174" s="492">
        <f t="shared" si="298"/>
        <v>4269</v>
      </c>
      <c r="AQ174" s="578">
        <f t="shared" si="298"/>
        <v>0</v>
      </c>
      <c r="AR174" s="626">
        <f>N174+AK174</f>
        <v>0.8</v>
      </c>
    </row>
    <row r="175" spans="1:44" ht="14.1" customHeight="1" x14ac:dyDescent="0.2">
      <c r="A175" s="499">
        <v>45</v>
      </c>
      <c r="B175" s="512">
        <v>2487</v>
      </c>
      <c r="C175" s="513">
        <v>600079996</v>
      </c>
      <c r="D175" s="512">
        <v>68974639</v>
      </c>
      <c r="E175" s="511" t="s">
        <v>606</v>
      </c>
      <c r="F175" s="499">
        <v>3113</v>
      </c>
      <c r="G175" s="514" t="s">
        <v>278</v>
      </c>
      <c r="H175" s="495" t="s">
        <v>263</v>
      </c>
      <c r="I175" s="627">
        <f t="shared" si="245"/>
        <v>0</v>
      </c>
      <c r="J175" s="490">
        <v>0</v>
      </c>
      <c r="K175" s="14">
        <v>0</v>
      </c>
      <c r="L175" s="14">
        <v>0</v>
      </c>
      <c r="M175" s="14">
        <v>0</v>
      </c>
      <c r="N175" s="682">
        <v>0</v>
      </c>
      <c r="O175" s="696">
        <f t="shared" si="246"/>
        <v>0</v>
      </c>
      <c r="P175" s="490">
        <v>1977671</v>
      </c>
      <c r="Q175" s="492">
        <v>0</v>
      </c>
      <c r="R175" s="492">
        <v>0</v>
      </c>
      <c r="S175" s="492">
        <v>0</v>
      </c>
      <c r="T175" s="492">
        <v>0</v>
      </c>
      <c r="U175" s="492">
        <f>O175+P175+Q175+R175+S175+T175</f>
        <v>1977671</v>
      </c>
      <c r="V175" s="492">
        <v>0</v>
      </c>
      <c r="W175" s="492">
        <v>0</v>
      </c>
      <c r="X175" s="492">
        <v>0</v>
      </c>
      <c r="Y175" s="492">
        <f t="shared" si="295"/>
        <v>0</v>
      </c>
      <c r="Z175" s="492">
        <f t="shared" si="296"/>
        <v>1977671</v>
      </c>
      <c r="AA175" s="494">
        <f t="shared" si="297"/>
        <v>668453</v>
      </c>
      <c r="AB175" s="494">
        <f>ROUND(U175*1%,0)</f>
        <v>19777</v>
      </c>
      <c r="AC175" s="14">
        <v>0</v>
      </c>
      <c r="AD175" s="892">
        <f t="shared" si="250"/>
        <v>2665901</v>
      </c>
      <c r="AE175" s="702">
        <v>0</v>
      </c>
      <c r="AF175" s="121">
        <v>4.97</v>
      </c>
      <c r="AG175" s="491">
        <v>0</v>
      </c>
      <c r="AH175" s="491">
        <v>0</v>
      </c>
      <c r="AI175" s="491">
        <v>0</v>
      </c>
      <c r="AJ175" s="491">
        <v>0</v>
      </c>
      <c r="AK175" s="626">
        <f>SUM(AE175:AJ175)</f>
        <v>4.97</v>
      </c>
      <c r="AL175" s="696">
        <f>I175+AD175</f>
        <v>2665901</v>
      </c>
      <c r="AM175" s="492">
        <f>J175+U175</f>
        <v>1977671</v>
      </c>
      <c r="AN175" s="492">
        <f>Y175</f>
        <v>0</v>
      </c>
      <c r="AO175" s="492">
        <f t="shared" si="298"/>
        <v>668453</v>
      </c>
      <c r="AP175" s="492">
        <f t="shared" si="298"/>
        <v>19777</v>
      </c>
      <c r="AQ175" s="578">
        <f t="shared" si="298"/>
        <v>0</v>
      </c>
      <c r="AR175" s="626">
        <f>N175+AK175</f>
        <v>4.97</v>
      </c>
    </row>
    <row r="176" spans="1:44" ht="14.1" customHeight="1" x14ac:dyDescent="0.2">
      <c r="A176" s="499">
        <v>45</v>
      </c>
      <c r="B176" s="512">
        <v>2487</v>
      </c>
      <c r="C176" s="513">
        <v>600079996</v>
      </c>
      <c r="D176" s="512">
        <v>68974639</v>
      </c>
      <c r="E176" s="511" t="s">
        <v>606</v>
      </c>
      <c r="F176" s="499">
        <v>3143</v>
      </c>
      <c r="G176" s="514" t="s">
        <v>794</v>
      </c>
      <c r="H176" s="495" t="s">
        <v>262</v>
      </c>
      <c r="I176" s="627">
        <f t="shared" si="245"/>
        <v>2571747</v>
      </c>
      <c r="J176" s="14">
        <v>1907824</v>
      </c>
      <c r="K176" s="14">
        <v>644845</v>
      </c>
      <c r="L176" s="14">
        <v>19078</v>
      </c>
      <c r="M176" s="14">
        <v>0</v>
      </c>
      <c r="N176" s="121">
        <v>3.5535999999999999</v>
      </c>
      <c r="O176" s="696">
        <f t="shared" si="246"/>
        <v>-10000</v>
      </c>
      <c r="P176" s="492">
        <v>0</v>
      </c>
      <c r="Q176" s="492">
        <v>0</v>
      </c>
      <c r="R176" s="492">
        <v>0</v>
      </c>
      <c r="S176" s="492">
        <v>0</v>
      </c>
      <c r="T176" s="492">
        <v>0</v>
      </c>
      <c r="U176" s="492">
        <f>O176+P176+Q176+R176+S176+T176</f>
        <v>-10000</v>
      </c>
      <c r="V176" s="492">
        <v>10000</v>
      </c>
      <c r="W176" s="492">
        <v>0</v>
      </c>
      <c r="X176" s="492">
        <v>0</v>
      </c>
      <c r="Y176" s="492">
        <f t="shared" si="295"/>
        <v>10000</v>
      </c>
      <c r="Z176" s="492">
        <f t="shared" si="296"/>
        <v>0</v>
      </c>
      <c r="AA176" s="494">
        <f t="shared" si="297"/>
        <v>0</v>
      </c>
      <c r="AB176" s="494">
        <f>ROUND(U176*1%,0)</f>
        <v>-100</v>
      </c>
      <c r="AC176" s="14">
        <v>0</v>
      </c>
      <c r="AD176" s="892">
        <f t="shared" si="250"/>
        <v>-100</v>
      </c>
      <c r="AE176" s="702">
        <v>-0.01</v>
      </c>
      <c r="AF176" s="702">
        <v>0</v>
      </c>
      <c r="AG176" s="491">
        <v>0</v>
      </c>
      <c r="AH176" s="491">
        <v>0</v>
      </c>
      <c r="AI176" s="491">
        <v>0</v>
      </c>
      <c r="AJ176" s="491">
        <v>0</v>
      </c>
      <c r="AK176" s="626">
        <f>SUM(AE176:AJ176)</f>
        <v>-0.01</v>
      </c>
      <c r="AL176" s="696">
        <f>I176+AD176</f>
        <v>2571647</v>
      </c>
      <c r="AM176" s="492">
        <f>J176+U176</f>
        <v>1897824</v>
      </c>
      <c r="AN176" s="492">
        <f>Y176</f>
        <v>10000</v>
      </c>
      <c r="AO176" s="492">
        <f t="shared" si="298"/>
        <v>644845</v>
      </c>
      <c r="AP176" s="492">
        <f t="shared" si="298"/>
        <v>18978</v>
      </c>
      <c r="AQ176" s="578">
        <f t="shared" si="298"/>
        <v>0</v>
      </c>
      <c r="AR176" s="626">
        <f>N176+AK176</f>
        <v>3.5436000000000001</v>
      </c>
    </row>
    <row r="177" spans="1:44" ht="14.1" customHeight="1" x14ac:dyDescent="0.2">
      <c r="A177" s="510">
        <v>45</v>
      </c>
      <c r="B177" s="508">
        <v>2487</v>
      </c>
      <c r="C177" s="509">
        <v>600079996</v>
      </c>
      <c r="D177" s="508">
        <v>68974639</v>
      </c>
      <c r="E177" s="506" t="s">
        <v>607</v>
      </c>
      <c r="F177" s="510"/>
      <c r="G177" s="506"/>
      <c r="H177" s="505"/>
      <c r="I177" s="629">
        <f t="shared" ref="I177:AR177" si="302">SUM(I173:I176)</f>
        <v>30710215</v>
      </c>
      <c r="J177" s="504">
        <f t="shared" si="302"/>
        <v>22782058</v>
      </c>
      <c r="K177" s="504">
        <f t="shared" si="302"/>
        <v>7700336</v>
      </c>
      <c r="L177" s="504">
        <f t="shared" si="302"/>
        <v>227821</v>
      </c>
      <c r="M177" s="504">
        <f t="shared" si="302"/>
        <v>0</v>
      </c>
      <c r="N177" s="885">
        <f t="shared" si="302"/>
        <v>31.944700000000001</v>
      </c>
      <c r="O177" s="629">
        <f t="shared" si="302"/>
        <v>-60000</v>
      </c>
      <c r="P177" s="503">
        <f t="shared" si="302"/>
        <v>1977671</v>
      </c>
      <c r="Q177" s="503">
        <f t="shared" si="302"/>
        <v>0</v>
      </c>
      <c r="R177" s="503">
        <f t="shared" si="302"/>
        <v>0</v>
      </c>
      <c r="S177" s="503">
        <f t="shared" si="302"/>
        <v>0</v>
      </c>
      <c r="T177" s="503">
        <f t="shared" si="302"/>
        <v>0</v>
      </c>
      <c r="U177" s="503">
        <f t="shared" si="302"/>
        <v>1917671</v>
      </c>
      <c r="V177" s="503">
        <f t="shared" si="302"/>
        <v>60000</v>
      </c>
      <c r="W177" s="503">
        <f t="shared" si="302"/>
        <v>0</v>
      </c>
      <c r="X177" s="503">
        <f t="shared" si="302"/>
        <v>0</v>
      </c>
      <c r="Y177" s="503">
        <f t="shared" si="302"/>
        <v>60000</v>
      </c>
      <c r="Z177" s="503">
        <f t="shared" si="302"/>
        <v>1977671</v>
      </c>
      <c r="AA177" s="503">
        <f t="shared" si="302"/>
        <v>668453</v>
      </c>
      <c r="AB177" s="503">
        <f t="shared" si="302"/>
        <v>19177</v>
      </c>
      <c r="AC177" s="503">
        <f t="shared" si="302"/>
        <v>0</v>
      </c>
      <c r="AD177" s="891">
        <f t="shared" si="302"/>
        <v>2665301</v>
      </c>
      <c r="AE177" s="701">
        <f t="shared" si="302"/>
        <v>-6.0000000000000005E-2</v>
      </c>
      <c r="AF177" s="701">
        <f t="shared" si="302"/>
        <v>4.97</v>
      </c>
      <c r="AG177" s="502">
        <f t="shared" si="302"/>
        <v>0</v>
      </c>
      <c r="AH177" s="502">
        <f t="shared" si="302"/>
        <v>0</v>
      </c>
      <c r="AI177" s="502">
        <f t="shared" si="302"/>
        <v>0</v>
      </c>
      <c r="AJ177" s="502">
        <f t="shared" si="302"/>
        <v>0</v>
      </c>
      <c r="AK177" s="630">
        <f t="shared" si="302"/>
        <v>4.91</v>
      </c>
      <c r="AL177" s="629">
        <f t="shared" si="302"/>
        <v>33375516</v>
      </c>
      <c r="AM177" s="503">
        <f t="shared" si="302"/>
        <v>24699729</v>
      </c>
      <c r="AN177" s="552">
        <f t="shared" si="302"/>
        <v>60000</v>
      </c>
      <c r="AO177" s="503">
        <f t="shared" si="302"/>
        <v>8368789</v>
      </c>
      <c r="AP177" s="503">
        <f t="shared" si="302"/>
        <v>246998</v>
      </c>
      <c r="AQ177" s="503">
        <f t="shared" si="302"/>
        <v>0</v>
      </c>
      <c r="AR177" s="630">
        <f t="shared" si="302"/>
        <v>36.854700000000001</v>
      </c>
    </row>
    <row r="178" spans="1:44" ht="14.1" customHeight="1" x14ac:dyDescent="0.2">
      <c r="A178" s="499">
        <v>46</v>
      </c>
      <c r="B178" s="512">
        <v>2488</v>
      </c>
      <c r="C178" s="513">
        <v>600079902</v>
      </c>
      <c r="D178" s="512">
        <v>70884978</v>
      </c>
      <c r="E178" s="511" t="s">
        <v>608</v>
      </c>
      <c r="F178" s="499">
        <v>3113</v>
      </c>
      <c r="G178" s="511" t="s">
        <v>280</v>
      </c>
      <c r="H178" s="495" t="s">
        <v>262</v>
      </c>
      <c r="I178" s="627">
        <f t="shared" si="245"/>
        <v>21270509</v>
      </c>
      <c r="J178" s="14">
        <v>15779309</v>
      </c>
      <c r="K178" s="14">
        <v>5333407</v>
      </c>
      <c r="L178" s="14">
        <v>157793</v>
      </c>
      <c r="M178" s="14">
        <v>0</v>
      </c>
      <c r="N178" s="121">
        <v>22.772500000000001</v>
      </c>
      <c r="O178" s="696">
        <f t="shared" si="246"/>
        <v>-25000</v>
      </c>
      <c r="P178" s="492">
        <v>0</v>
      </c>
      <c r="Q178" s="492">
        <v>125100</v>
      </c>
      <c r="R178" s="492">
        <v>0</v>
      </c>
      <c r="S178" s="492">
        <v>0</v>
      </c>
      <c r="T178" s="492">
        <v>0</v>
      </c>
      <c r="U178" s="492">
        <f>O178+P178+Q178+R178+S178+T178</f>
        <v>100100</v>
      </c>
      <c r="V178" s="492">
        <v>25000</v>
      </c>
      <c r="W178" s="492">
        <v>109832</v>
      </c>
      <c r="X178" s="492">
        <v>0</v>
      </c>
      <c r="Y178" s="492">
        <f t="shared" ref="Y178:Y181" si="303">V178+W178+X178</f>
        <v>134832</v>
      </c>
      <c r="Z178" s="492">
        <f t="shared" ref="Z178:Z181" si="304">U178+Y178</f>
        <v>234932</v>
      </c>
      <c r="AA178" s="494">
        <f t="shared" ref="AA178:AA181" si="305">ROUND((U178+Y178)*33.8%,0)</f>
        <v>79407</v>
      </c>
      <c r="AB178" s="494">
        <f>ROUND(U178*1%,0)</f>
        <v>1001</v>
      </c>
      <c r="AC178" s="14">
        <v>0</v>
      </c>
      <c r="AD178" s="892">
        <f t="shared" si="250"/>
        <v>315340</v>
      </c>
      <c r="AE178" s="702">
        <v>-0.03</v>
      </c>
      <c r="AF178" s="702">
        <v>0</v>
      </c>
      <c r="AG178" s="491">
        <v>0</v>
      </c>
      <c r="AH178" s="491">
        <v>0.18</v>
      </c>
      <c r="AI178" s="491">
        <v>0</v>
      </c>
      <c r="AJ178" s="491">
        <v>0</v>
      </c>
      <c r="AK178" s="626">
        <f>SUM(AE178:AJ178)</f>
        <v>0.15</v>
      </c>
      <c r="AL178" s="696">
        <f>I178+AD178</f>
        <v>21585849</v>
      </c>
      <c r="AM178" s="492">
        <f>J178+U178</f>
        <v>15879409</v>
      </c>
      <c r="AN178" s="492">
        <f>Y178</f>
        <v>134832</v>
      </c>
      <c r="AO178" s="492">
        <f t="shared" ref="AO178:AQ181" si="306">K178+AA178</f>
        <v>5412814</v>
      </c>
      <c r="AP178" s="492">
        <f t="shared" si="306"/>
        <v>158794</v>
      </c>
      <c r="AQ178" s="578">
        <f t="shared" si="306"/>
        <v>0</v>
      </c>
      <c r="AR178" s="626">
        <f>N178+AK178</f>
        <v>22.922499999999999</v>
      </c>
    </row>
    <row r="179" spans="1:44" ht="14.1" customHeight="1" x14ac:dyDescent="0.2">
      <c r="A179" s="499">
        <v>46</v>
      </c>
      <c r="B179" s="512">
        <v>2488</v>
      </c>
      <c r="C179" s="513">
        <v>600079902</v>
      </c>
      <c r="D179" s="512">
        <v>70884978</v>
      </c>
      <c r="E179" s="511" t="s">
        <v>608</v>
      </c>
      <c r="F179" s="499">
        <v>3113</v>
      </c>
      <c r="G179" s="511" t="s">
        <v>799</v>
      </c>
      <c r="H179" s="495" t="s">
        <v>262</v>
      </c>
      <c r="I179" s="627">
        <f t="shared" si="245"/>
        <v>671484</v>
      </c>
      <c r="J179" s="14">
        <v>498134</v>
      </c>
      <c r="K179" s="14">
        <v>168369</v>
      </c>
      <c r="L179" s="14">
        <v>4981</v>
      </c>
      <c r="M179" s="14">
        <v>0</v>
      </c>
      <c r="N179" s="121">
        <v>0.8</v>
      </c>
      <c r="O179" s="696">
        <f t="shared" si="246"/>
        <v>0</v>
      </c>
      <c r="P179" s="492">
        <v>0</v>
      </c>
      <c r="Q179" s="492">
        <v>0</v>
      </c>
      <c r="R179" s="492">
        <v>0</v>
      </c>
      <c r="S179" s="492">
        <v>0</v>
      </c>
      <c r="T179" s="492">
        <v>0</v>
      </c>
      <c r="U179" s="492">
        <f>O179+P179+Q179+R179+S179+T179</f>
        <v>0</v>
      </c>
      <c r="V179" s="492">
        <v>0</v>
      </c>
      <c r="W179" s="492">
        <v>0</v>
      </c>
      <c r="X179" s="492">
        <v>0</v>
      </c>
      <c r="Y179" s="492">
        <f t="shared" ref="Y179" si="307">V179+W179+X179</f>
        <v>0</v>
      </c>
      <c r="Z179" s="492">
        <f t="shared" ref="Z179" si="308">U179+Y179</f>
        <v>0</v>
      </c>
      <c r="AA179" s="494">
        <f t="shared" ref="AA179" si="309">ROUND((U179+Y179)*33.8%,0)</f>
        <v>0</v>
      </c>
      <c r="AB179" s="494">
        <f>ROUND(U179*1%,0)</f>
        <v>0</v>
      </c>
      <c r="AC179" s="14">
        <v>0</v>
      </c>
      <c r="AD179" s="892">
        <f t="shared" si="250"/>
        <v>0</v>
      </c>
      <c r="AE179" s="702">
        <v>0</v>
      </c>
      <c r="AF179" s="702">
        <v>0</v>
      </c>
      <c r="AG179" s="491">
        <v>0</v>
      </c>
      <c r="AH179" s="491">
        <v>0</v>
      </c>
      <c r="AI179" s="491">
        <v>0</v>
      </c>
      <c r="AJ179" s="491">
        <v>0</v>
      </c>
      <c r="AK179" s="626">
        <f>SUM(AE179:AJ179)</f>
        <v>0</v>
      </c>
      <c r="AL179" s="696">
        <f>I179+AD179</f>
        <v>671484</v>
      </c>
      <c r="AM179" s="492">
        <f>J179+U179</f>
        <v>498134</v>
      </c>
      <c r="AN179" s="492">
        <f>Y179</f>
        <v>0</v>
      </c>
      <c r="AO179" s="492">
        <f t="shared" si="306"/>
        <v>168369</v>
      </c>
      <c r="AP179" s="492">
        <f t="shared" si="306"/>
        <v>4981</v>
      </c>
      <c r="AQ179" s="578">
        <f t="shared" si="306"/>
        <v>0</v>
      </c>
      <c r="AR179" s="626">
        <f>N179+AK179</f>
        <v>0.8</v>
      </c>
    </row>
    <row r="180" spans="1:44" ht="14.1" customHeight="1" x14ac:dyDescent="0.2">
      <c r="A180" s="499">
        <v>46</v>
      </c>
      <c r="B180" s="512">
        <v>2488</v>
      </c>
      <c r="C180" s="513">
        <v>600079902</v>
      </c>
      <c r="D180" s="512">
        <v>70884978</v>
      </c>
      <c r="E180" s="511" t="s">
        <v>608</v>
      </c>
      <c r="F180" s="499">
        <v>3113</v>
      </c>
      <c r="G180" s="514" t="s">
        <v>278</v>
      </c>
      <c r="H180" s="495" t="s">
        <v>263</v>
      </c>
      <c r="I180" s="627">
        <f t="shared" si="245"/>
        <v>0</v>
      </c>
      <c r="J180" s="490">
        <v>0</v>
      </c>
      <c r="K180" s="14">
        <v>0</v>
      </c>
      <c r="L180" s="14">
        <v>0</v>
      </c>
      <c r="M180" s="14">
        <v>0</v>
      </c>
      <c r="N180" s="682">
        <v>0</v>
      </c>
      <c r="O180" s="696">
        <f t="shared" si="246"/>
        <v>0</v>
      </c>
      <c r="P180" s="490">
        <f>2467740+323362</f>
        <v>2791102</v>
      </c>
      <c r="Q180" s="492">
        <v>0</v>
      </c>
      <c r="R180" s="492">
        <v>0</v>
      </c>
      <c r="S180" s="492">
        <v>0</v>
      </c>
      <c r="T180" s="492">
        <v>0</v>
      </c>
      <c r="U180" s="492">
        <f>O180+P180+Q180+R180+S180+T180</f>
        <v>2791102</v>
      </c>
      <c r="V180" s="492">
        <v>0</v>
      </c>
      <c r="W180" s="492">
        <v>0</v>
      </c>
      <c r="X180" s="492">
        <v>0</v>
      </c>
      <c r="Y180" s="492">
        <f t="shared" si="303"/>
        <v>0</v>
      </c>
      <c r="Z180" s="492">
        <f t="shared" si="304"/>
        <v>2791102</v>
      </c>
      <c r="AA180" s="494">
        <f t="shared" si="305"/>
        <v>943392</v>
      </c>
      <c r="AB180" s="494">
        <f>ROUND(U180*1%,0)</f>
        <v>27911</v>
      </c>
      <c r="AC180" s="14">
        <v>0</v>
      </c>
      <c r="AD180" s="892">
        <f t="shared" si="250"/>
        <v>3762405</v>
      </c>
      <c r="AE180" s="702">
        <v>0</v>
      </c>
      <c r="AF180" s="121">
        <f>6.39+0.82</f>
        <v>7.21</v>
      </c>
      <c r="AG180" s="491">
        <v>0</v>
      </c>
      <c r="AH180" s="491">
        <v>0</v>
      </c>
      <c r="AI180" s="491">
        <v>0</v>
      </c>
      <c r="AJ180" s="491">
        <v>0</v>
      </c>
      <c r="AK180" s="626">
        <f>SUM(AE180:AJ180)</f>
        <v>7.21</v>
      </c>
      <c r="AL180" s="696">
        <f>I180+AD180</f>
        <v>3762405</v>
      </c>
      <c r="AM180" s="492">
        <f>J180+U180</f>
        <v>2791102</v>
      </c>
      <c r="AN180" s="492">
        <f>Y180</f>
        <v>0</v>
      </c>
      <c r="AO180" s="492">
        <f t="shared" si="306"/>
        <v>943392</v>
      </c>
      <c r="AP180" s="492">
        <f t="shared" si="306"/>
        <v>27911</v>
      </c>
      <c r="AQ180" s="578">
        <f t="shared" si="306"/>
        <v>0</v>
      </c>
      <c r="AR180" s="626">
        <f>N180+AK180</f>
        <v>7.21</v>
      </c>
    </row>
    <row r="181" spans="1:44" ht="14.1" customHeight="1" x14ac:dyDescent="0.2">
      <c r="A181" s="499">
        <v>46</v>
      </c>
      <c r="B181" s="512">
        <v>2488</v>
      </c>
      <c r="C181" s="513">
        <v>600079902</v>
      </c>
      <c r="D181" s="512">
        <v>70884978</v>
      </c>
      <c r="E181" s="511" t="s">
        <v>608</v>
      </c>
      <c r="F181" s="499">
        <v>3143</v>
      </c>
      <c r="G181" s="514" t="s">
        <v>795</v>
      </c>
      <c r="H181" s="495" t="s">
        <v>262</v>
      </c>
      <c r="I181" s="627">
        <f t="shared" si="245"/>
        <v>2792335</v>
      </c>
      <c r="J181" s="14">
        <v>2071465</v>
      </c>
      <c r="K181" s="14">
        <v>700155</v>
      </c>
      <c r="L181" s="14">
        <v>20715</v>
      </c>
      <c r="M181" s="14">
        <v>0</v>
      </c>
      <c r="N181" s="121">
        <v>3.9645999999999999</v>
      </c>
      <c r="O181" s="696">
        <f t="shared" si="246"/>
        <v>0</v>
      </c>
      <c r="P181" s="492">
        <v>0</v>
      </c>
      <c r="Q181" s="492">
        <v>0</v>
      </c>
      <c r="R181" s="492">
        <v>0</v>
      </c>
      <c r="S181" s="492">
        <v>0</v>
      </c>
      <c r="T181" s="492">
        <v>0</v>
      </c>
      <c r="U181" s="492">
        <f>O181+P181+Q181+R181+S181+T181</f>
        <v>0</v>
      </c>
      <c r="V181" s="492">
        <v>0</v>
      </c>
      <c r="W181" s="492">
        <v>0</v>
      </c>
      <c r="X181" s="492">
        <v>0</v>
      </c>
      <c r="Y181" s="492">
        <f t="shared" si="303"/>
        <v>0</v>
      </c>
      <c r="Z181" s="492">
        <f t="shared" si="304"/>
        <v>0</v>
      </c>
      <c r="AA181" s="494">
        <f t="shared" si="305"/>
        <v>0</v>
      </c>
      <c r="AB181" s="494">
        <f>ROUND(U181*1%,0)</f>
        <v>0</v>
      </c>
      <c r="AC181" s="14">
        <v>0</v>
      </c>
      <c r="AD181" s="892">
        <f t="shared" si="250"/>
        <v>0</v>
      </c>
      <c r="AE181" s="702">
        <v>0</v>
      </c>
      <c r="AF181" s="702">
        <v>0</v>
      </c>
      <c r="AG181" s="491">
        <v>0</v>
      </c>
      <c r="AH181" s="491">
        <v>0</v>
      </c>
      <c r="AI181" s="491">
        <v>0</v>
      </c>
      <c r="AJ181" s="491">
        <v>0</v>
      </c>
      <c r="AK181" s="626">
        <f>SUM(AE181:AJ181)</f>
        <v>0</v>
      </c>
      <c r="AL181" s="696">
        <f>I181+AD181</f>
        <v>2792335</v>
      </c>
      <c r="AM181" s="492">
        <f>J181+U181</f>
        <v>2071465</v>
      </c>
      <c r="AN181" s="492">
        <f>Y181</f>
        <v>0</v>
      </c>
      <c r="AO181" s="492">
        <f t="shared" si="306"/>
        <v>700155</v>
      </c>
      <c r="AP181" s="492">
        <f t="shared" si="306"/>
        <v>20715</v>
      </c>
      <c r="AQ181" s="578">
        <f t="shared" si="306"/>
        <v>0</v>
      </c>
      <c r="AR181" s="626">
        <f>N181+AK181</f>
        <v>3.9645999999999999</v>
      </c>
    </row>
    <row r="182" spans="1:44" ht="14.1" customHeight="1" x14ac:dyDescent="0.2">
      <c r="A182" s="510">
        <v>46</v>
      </c>
      <c r="B182" s="508">
        <v>2488</v>
      </c>
      <c r="C182" s="509">
        <v>600079902</v>
      </c>
      <c r="D182" s="508">
        <v>70884978</v>
      </c>
      <c r="E182" s="506" t="s">
        <v>609</v>
      </c>
      <c r="F182" s="510"/>
      <c r="G182" s="506"/>
      <c r="H182" s="505"/>
      <c r="I182" s="629">
        <f t="shared" ref="I182:AR182" si="310">SUM(I178:I181)</f>
        <v>24734328</v>
      </c>
      <c r="J182" s="504">
        <f t="shared" si="310"/>
        <v>18348908</v>
      </c>
      <c r="K182" s="504">
        <f t="shared" si="310"/>
        <v>6201931</v>
      </c>
      <c r="L182" s="504">
        <f t="shared" si="310"/>
        <v>183489</v>
      </c>
      <c r="M182" s="504">
        <f t="shared" si="310"/>
        <v>0</v>
      </c>
      <c r="N182" s="885">
        <f t="shared" si="310"/>
        <v>27.537100000000002</v>
      </c>
      <c r="O182" s="629">
        <f t="shared" si="310"/>
        <v>-25000</v>
      </c>
      <c r="P182" s="503">
        <f t="shared" si="310"/>
        <v>2791102</v>
      </c>
      <c r="Q182" s="503">
        <f t="shared" si="310"/>
        <v>125100</v>
      </c>
      <c r="R182" s="503">
        <f t="shared" si="310"/>
        <v>0</v>
      </c>
      <c r="S182" s="503">
        <f t="shared" si="310"/>
        <v>0</v>
      </c>
      <c r="T182" s="503">
        <f t="shared" si="310"/>
        <v>0</v>
      </c>
      <c r="U182" s="503">
        <f t="shared" si="310"/>
        <v>2891202</v>
      </c>
      <c r="V182" s="503">
        <f t="shared" si="310"/>
        <v>25000</v>
      </c>
      <c r="W182" s="503">
        <f t="shared" si="310"/>
        <v>109832</v>
      </c>
      <c r="X182" s="503">
        <f t="shared" si="310"/>
        <v>0</v>
      </c>
      <c r="Y182" s="503">
        <f t="shared" si="310"/>
        <v>134832</v>
      </c>
      <c r="Z182" s="503">
        <f t="shared" si="310"/>
        <v>3026034</v>
      </c>
      <c r="AA182" s="503">
        <f t="shared" si="310"/>
        <v>1022799</v>
      </c>
      <c r="AB182" s="503">
        <f t="shared" si="310"/>
        <v>28912</v>
      </c>
      <c r="AC182" s="503">
        <f t="shared" si="310"/>
        <v>0</v>
      </c>
      <c r="AD182" s="891">
        <f t="shared" si="310"/>
        <v>4077745</v>
      </c>
      <c r="AE182" s="701">
        <f t="shared" si="310"/>
        <v>-0.03</v>
      </c>
      <c r="AF182" s="701">
        <f t="shared" si="310"/>
        <v>7.21</v>
      </c>
      <c r="AG182" s="502">
        <f t="shared" si="310"/>
        <v>0</v>
      </c>
      <c r="AH182" s="502">
        <f t="shared" si="310"/>
        <v>0.18</v>
      </c>
      <c r="AI182" s="502">
        <f t="shared" si="310"/>
        <v>0</v>
      </c>
      <c r="AJ182" s="502">
        <f t="shared" si="310"/>
        <v>0</v>
      </c>
      <c r="AK182" s="630">
        <f t="shared" si="310"/>
        <v>7.36</v>
      </c>
      <c r="AL182" s="629">
        <f t="shared" si="310"/>
        <v>28812073</v>
      </c>
      <c r="AM182" s="503">
        <f t="shared" si="310"/>
        <v>21240110</v>
      </c>
      <c r="AN182" s="552">
        <f t="shared" si="310"/>
        <v>134832</v>
      </c>
      <c r="AO182" s="503">
        <f t="shared" si="310"/>
        <v>7224730</v>
      </c>
      <c r="AP182" s="503">
        <f t="shared" si="310"/>
        <v>212401</v>
      </c>
      <c r="AQ182" s="503">
        <f t="shared" si="310"/>
        <v>0</v>
      </c>
      <c r="AR182" s="630">
        <f t="shared" si="310"/>
        <v>34.897100000000002</v>
      </c>
    </row>
    <row r="183" spans="1:44" ht="14.1" customHeight="1" x14ac:dyDescent="0.2">
      <c r="A183" s="499">
        <v>47</v>
      </c>
      <c r="B183" s="512">
        <v>2472</v>
      </c>
      <c r="C183" s="513">
        <v>600080277</v>
      </c>
      <c r="D183" s="512">
        <v>72743131</v>
      </c>
      <c r="E183" s="511" t="s">
        <v>610</v>
      </c>
      <c r="F183" s="499">
        <v>3113</v>
      </c>
      <c r="G183" s="511" t="s">
        <v>280</v>
      </c>
      <c r="H183" s="495" t="s">
        <v>262</v>
      </c>
      <c r="I183" s="627">
        <f t="shared" si="245"/>
        <v>25174796</v>
      </c>
      <c r="J183" s="14">
        <v>18675665</v>
      </c>
      <c r="K183" s="14">
        <v>6312374</v>
      </c>
      <c r="L183" s="14">
        <v>186757</v>
      </c>
      <c r="M183" s="14">
        <v>0</v>
      </c>
      <c r="N183" s="121">
        <v>25.545500000000001</v>
      </c>
      <c r="O183" s="696">
        <f t="shared" si="246"/>
        <v>-30000</v>
      </c>
      <c r="P183" s="492">
        <v>0</v>
      </c>
      <c r="Q183" s="492">
        <v>55600</v>
      </c>
      <c r="R183" s="492">
        <v>0</v>
      </c>
      <c r="S183" s="492">
        <v>0</v>
      </c>
      <c r="T183" s="492">
        <v>0</v>
      </c>
      <c r="U183" s="492">
        <f>O183+P183+Q183+R183+S183+T183</f>
        <v>25600</v>
      </c>
      <c r="V183" s="492">
        <v>30000</v>
      </c>
      <c r="W183" s="492">
        <v>0</v>
      </c>
      <c r="X183" s="492">
        <v>0</v>
      </c>
      <c r="Y183" s="492">
        <f t="shared" ref="Y183:Y186" si="311">V183+W183+X183</f>
        <v>30000</v>
      </c>
      <c r="Z183" s="492">
        <f t="shared" ref="Z183:Z186" si="312">U183+Y183</f>
        <v>55600</v>
      </c>
      <c r="AA183" s="494">
        <f t="shared" ref="AA183:AA186" si="313">ROUND((U183+Y183)*33.8%,0)</f>
        <v>18793</v>
      </c>
      <c r="AB183" s="494">
        <f>ROUND(U183*1%,0)</f>
        <v>256</v>
      </c>
      <c r="AC183" s="14">
        <v>0</v>
      </c>
      <c r="AD183" s="892">
        <f t="shared" si="250"/>
        <v>74649</v>
      </c>
      <c r="AE183" s="702">
        <v>0</v>
      </c>
      <c r="AF183" s="702">
        <v>0</v>
      </c>
      <c r="AG183" s="491">
        <v>0</v>
      </c>
      <c r="AH183" s="491">
        <v>0.08</v>
      </c>
      <c r="AI183" s="491">
        <v>0</v>
      </c>
      <c r="AJ183" s="491">
        <v>0</v>
      </c>
      <c r="AK183" s="626">
        <f>SUM(AE183:AJ183)</f>
        <v>0.08</v>
      </c>
      <c r="AL183" s="696">
        <f>I183+AD183</f>
        <v>25249445</v>
      </c>
      <c r="AM183" s="492">
        <f>J183+U183</f>
        <v>18701265</v>
      </c>
      <c r="AN183" s="492">
        <f>Y183</f>
        <v>30000</v>
      </c>
      <c r="AO183" s="492">
        <f t="shared" ref="AO183:AQ186" si="314">K183+AA183</f>
        <v>6331167</v>
      </c>
      <c r="AP183" s="492">
        <f t="shared" si="314"/>
        <v>187013</v>
      </c>
      <c r="AQ183" s="578">
        <f t="shared" si="314"/>
        <v>0</v>
      </c>
      <c r="AR183" s="626">
        <f>N183+AK183</f>
        <v>25.625499999999999</v>
      </c>
    </row>
    <row r="184" spans="1:44" ht="14.1" customHeight="1" x14ac:dyDescent="0.2">
      <c r="A184" s="499">
        <v>47</v>
      </c>
      <c r="B184" s="512">
        <v>2472</v>
      </c>
      <c r="C184" s="513">
        <v>600080277</v>
      </c>
      <c r="D184" s="512">
        <v>72743131</v>
      </c>
      <c r="E184" s="511" t="s">
        <v>610</v>
      </c>
      <c r="F184" s="499">
        <v>3113</v>
      </c>
      <c r="G184" s="511" t="s">
        <v>799</v>
      </c>
      <c r="H184" s="495" t="s">
        <v>262</v>
      </c>
      <c r="I184" s="627">
        <f t="shared" si="245"/>
        <v>463855</v>
      </c>
      <c r="J184" s="14">
        <v>344106</v>
      </c>
      <c r="K184" s="14">
        <v>116308</v>
      </c>
      <c r="L184" s="14">
        <v>3441</v>
      </c>
      <c r="M184" s="14">
        <v>0</v>
      </c>
      <c r="N184" s="121">
        <v>0.55259999999999998</v>
      </c>
      <c r="O184" s="696">
        <f t="shared" si="246"/>
        <v>0</v>
      </c>
      <c r="P184" s="492">
        <v>0</v>
      </c>
      <c r="Q184" s="492">
        <v>0</v>
      </c>
      <c r="R184" s="492">
        <v>0</v>
      </c>
      <c r="S184" s="492">
        <v>0</v>
      </c>
      <c r="T184" s="492">
        <v>0</v>
      </c>
      <c r="U184" s="492">
        <f>O184+P184+Q184+R184+S184+T184</f>
        <v>0</v>
      </c>
      <c r="V184" s="492">
        <v>0</v>
      </c>
      <c r="W184" s="492">
        <v>0</v>
      </c>
      <c r="X184" s="492">
        <v>0</v>
      </c>
      <c r="Y184" s="492">
        <f t="shared" ref="Y184" si="315">V184+W184+X184</f>
        <v>0</v>
      </c>
      <c r="Z184" s="492">
        <f t="shared" ref="Z184" si="316">U184+Y184</f>
        <v>0</v>
      </c>
      <c r="AA184" s="494">
        <f t="shared" ref="AA184" si="317">ROUND((U184+Y184)*33.8%,0)</f>
        <v>0</v>
      </c>
      <c r="AB184" s="494">
        <f>ROUND(U184*1%,0)</f>
        <v>0</v>
      </c>
      <c r="AC184" s="14">
        <v>0</v>
      </c>
      <c r="AD184" s="892">
        <f t="shared" si="250"/>
        <v>0</v>
      </c>
      <c r="AE184" s="702">
        <v>0</v>
      </c>
      <c r="AF184" s="702">
        <v>0</v>
      </c>
      <c r="AG184" s="491">
        <v>0</v>
      </c>
      <c r="AH184" s="491">
        <v>0</v>
      </c>
      <c r="AI184" s="491">
        <v>0</v>
      </c>
      <c r="AJ184" s="491">
        <v>0</v>
      </c>
      <c r="AK184" s="626">
        <f>SUM(AE184:AJ184)</f>
        <v>0</v>
      </c>
      <c r="AL184" s="696">
        <f>I184+AD184</f>
        <v>463855</v>
      </c>
      <c r="AM184" s="492">
        <f>J184+U184</f>
        <v>344106</v>
      </c>
      <c r="AN184" s="492">
        <f>Y184</f>
        <v>0</v>
      </c>
      <c r="AO184" s="492">
        <f t="shared" si="314"/>
        <v>116308</v>
      </c>
      <c r="AP184" s="492">
        <f t="shared" si="314"/>
        <v>3441</v>
      </c>
      <c r="AQ184" s="578">
        <f t="shared" si="314"/>
        <v>0</v>
      </c>
      <c r="AR184" s="626">
        <f>N184+AK184</f>
        <v>0.55259999999999998</v>
      </c>
    </row>
    <row r="185" spans="1:44" ht="14.1" customHeight="1" x14ac:dyDescent="0.2">
      <c r="A185" s="499">
        <v>47</v>
      </c>
      <c r="B185" s="512">
        <v>2472</v>
      </c>
      <c r="C185" s="513">
        <v>600080277</v>
      </c>
      <c r="D185" s="512">
        <v>72743131</v>
      </c>
      <c r="E185" s="511" t="s">
        <v>610</v>
      </c>
      <c r="F185" s="499">
        <v>3113</v>
      </c>
      <c r="G185" s="514" t="s">
        <v>278</v>
      </c>
      <c r="H185" s="495" t="s">
        <v>263</v>
      </c>
      <c r="I185" s="627">
        <f t="shared" si="245"/>
        <v>0</v>
      </c>
      <c r="J185" s="490">
        <v>0</v>
      </c>
      <c r="K185" s="14">
        <v>0</v>
      </c>
      <c r="L185" s="14">
        <v>0</v>
      </c>
      <c r="M185" s="14">
        <v>0</v>
      </c>
      <c r="N185" s="682">
        <v>0</v>
      </c>
      <c r="O185" s="696">
        <f t="shared" si="246"/>
        <v>0</v>
      </c>
      <c r="P185" s="490">
        <v>2868614</v>
      </c>
      <c r="Q185" s="492">
        <v>0</v>
      </c>
      <c r="R185" s="492">
        <v>0</v>
      </c>
      <c r="S185" s="492">
        <v>0</v>
      </c>
      <c r="T185" s="492">
        <v>0</v>
      </c>
      <c r="U185" s="492">
        <f>O185+P185+Q185+R185+S185+T185</f>
        <v>2868614</v>
      </c>
      <c r="V185" s="492">
        <v>0</v>
      </c>
      <c r="W185" s="492">
        <v>0</v>
      </c>
      <c r="X185" s="492">
        <v>0</v>
      </c>
      <c r="Y185" s="492">
        <f t="shared" si="311"/>
        <v>0</v>
      </c>
      <c r="Z185" s="492">
        <f t="shared" si="312"/>
        <v>2868614</v>
      </c>
      <c r="AA185" s="494">
        <f t="shared" si="313"/>
        <v>969592</v>
      </c>
      <c r="AB185" s="494">
        <f>ROUND(U185*1%,0)</f>
        <v>28686</v>
      </c>
      <c r="AC185" s="14">
        <v>0</v>
      </c>
      <c r="AD185" s="892">
        <f t="shared" si="250"/>
        <v>3866892</v>
      </c>
      <c r="AE185" s="702">
        <v>0</v>
      </c>
      <c r="AF185" s="121">
        <v>7.1</v>
      </c>
      <c r="AG185" s="491">
        <v>0</v>
      </c>
      <c r="AH185" s="491">
        <v>0</v>
      </c>
      <c r="AI185" s="491">
        <v>0</v>
      </c>
      <c r="AJ185" s="491">
        <v>0</v>
      </c>
      <c r="AK185" s="626">
        <f>SUM(AE185:AJ185)</f>
        <v>7.1</v>
      </c>
      <c r="AL185" s="696">
        <f>I185+AD185</f>
        <v>3866892</v>
      </c>
      <c r="AM185" s="492">
        <f>J185+U185</f>
        <v>2868614</v>
      </c>
      <c r="AN185" s="492">
        <f>Y185</f>
        <v>0</v>
      </c>
      <c r="AO185" s="492">
        <f t="shared" si="314"/>
        <v>969592</v>
      </c>
      <c r="AP185" s="492">
        <f t="shared" si="314"/>
        <v>28686</v>
      </c>
      <c r="AQ185" s="578">
        <f t="shared" si="314"/>
        <v>0</v>
      </c>
      <c r="AR185" s="626">
        <f>N185+AK185</f>
        <v>7.1</v>
      </c>
    </row>
    <row r="186" spans="1:44" ht="14.1" customHeight="1" x14ac:dyDescent="0.2">
      <c r="A186" s="499">
        <v>47</v>
      </c>
      <c r="B186" s="512">
        <v>2472</v>
      </c>
      <c r="C186" s="513">
        <v>600080277</v>
      </c>
      <c r="D186" s="512">
        <v>72743131</v>
      </c>
      <c r="E186" s="511" t="s">
        <v>610</v>
      </c>
      <c r="F186" s="499">
        <v>3143</v>
      </c>
      <c r="G186" s="514" t="s">
        <v>795</v>
      </c>
      <c r="H186" s="495" t="s">
        <v>262</v>
      </c>
      <c r="I186" s="627">
        <f t="shared" si="245"/>
        <v>2962823</v>
      </c>
      <c r="J186" s="14">
        <v>2197940</v>
      </c>
      <c r="K186" s="14">
        <v>742904</v>
      </c>
      <c r="L186" s="14">
        <v>21979</v>
      </c>
      <c r="M186" s="14">
        <v>0</v>
      </c>
      <c r="N186" s="121">
        <v>4.2991000000000001</v>
      </c>
      <c r="O186" s="696">
        <f t="shared" si="246"/>
        <v>-10000</v>
      </c>
      <c r="P186" s="492">
        <v>0</v>
      </c>
      <c r="Q186" s="492">
        <v>0</v>
      </c>
      <c r="R186" s="492">
        <v>0</v>
      </c>
      <c r="S186" s="492">
        <v>0</v>
      </c>
      <c r="T186" s="492">
        <v>0</v>
      </c>
      <c r="U186" s="492">
        <f>O186+P186+Q186+R186+S186+T186</f>
        <v>-10000</v>
      </c>
      <c r="V186" s="492">
        <v>10000</v>
      </c>
      <c r="W186" s="492">
        <v>0</v>
      </c>
      <c r="X186" s="492">
        <v>0</v>
      </c>
      <c r="Y186" s="492">
        <f t="shared" si="311"/>
        <v>10000</v>
      </c>
      <c r="Z186" s="492">
        <f t="shared" si="312"/>
        <v>0</v>
      </c>
      <c r="AA186" s="494">
        <f t="shared" si="313"/>
        <v>0</v>
      </c>
      <c r="AB186" s="494">
        <f>ROUND(U186*1%,0)</f>
        <v>-100</v>
      </c>
      <c r="AC186" s="14">
        <v>0</v>
      </c>
      <c r="AD186" s="892">
        <f t="shared" si="250"/>
        <v>-100</v>
      </c>
      <c r="AE186" s="702">
        <v>0</v>
      </c>
      <c r="AF186" s="702">
        <v>0</v>
      </c>
      <c r="AG186" s="491">
        <v>0</v>
      </c>
      <c r="AH186" s="491">
        <v>0</v>
      </c>
      <c r="AI186" s="491">
        <v>0</v>
      </c>
      <c r="AJ186" s="491">
        <v>0</v>
      </c>
      <c r="AK186" s="626">
        <f>SUM(AE186:AJ186)</f>
        <v>0</v>
      </c>
      <c r="AL186" s="696">
        <f>I186+AD186</f>
        <v>2962723</v>
      </c>
      <c r="AM186" s="492">
        <f>J186+U186</f>
        <v>2187940</v>
      </c>
      <c r="AN186" s="492">
        <f>Y186</f>
        <v>10000</v>
      </c>
      <c r="AO186" s="492">
        <f t="shared" si="314"/>
        <v>742904</v>
      </c>
      <c r="AP186" s="492">
        <f t="shared" si="314"/>
        <v>21879</v>
      </c>
      <c r="AQ186" s="578">
        <f t="shared" si="314"/>
        <v>0</v>
      </c>
      <c r="AR186" s="626">
        <f>N186+AK186</f>
        <v>4.2991000000000001</v>
      </c>
    </row>
    <row r="187" spans="1:44" ht="14.1" customHeight="1" x14ac:dyDescent="0.2">
      <c r="A187" s="510">
        <v>47</v>
      </c>
      <c r="B187" s="508">
        <v>2472</v>
      </c>
      <c r="C187" s="509">
        <v>600080277</v>
      </c>
      <c r="D187" s="508">
        <v>72743131</v>
      </c>
      <c r="E187" s="506" t="s">
        <v>611</v>
      </c>
      <c r="F187" s="510"/>
      <c r="G187" s="506"/>
      <c r="H187" s="505"/>
      <c r="I187" s="629">
        <f t="shared" ref="I187:AR187" si="318">SUM(I183:I186)</f>
        <v>28601474</v>
      </c>
      <c r="J187" s="504">
        <f t="shared" si="318"/>
        <v>21217711</v>
      </c>
      <c r="K187" s="504">
        <f t="shared" si="318"/>
        <v>7171586</v>
      </c>
      <c r="L187" s="504">
        <f t="shared" si="318"/>
        <v>212177</v>
      </c>
      <c r="M187" s="504">
        <f t="shared" si="318"/>
        <v>0</v>
      </c>
      <c r="N187" s="885">
        <f t="shared" si="318"/>
        <v>30.397200000000002</v>
      </c>
      <c r="O187" s="629">
        <f t="shared" si="318"/>
        <v>-40000</v>
      </c>
      <c r="P187" s="503">
        <f t="shared" si="318"/>
        <v>2868614</v>
      </c>
      <c r="Q187" s="503">
        <f t="shared" si="318"/>
        <v>55600</v>
      </c>
      <c r="R187" s="503">
        <f t="shared" si="318"/>
        <v>0</v>
      </c>
      <c r="S187" s="503">
        <f t="shared" si="318"/>
        <v>0</v>
      </c>
      <c r="T187" s="503">
        <f t="shared" si="318"/>
        <v>0</v>
      </c>
      <c r="U187" s="503">
        <f t="shared" si="318"/>
        <v>2884214</v>
      </c>
      <c r="V187" s="503">
        <f t="shared" si="318"/>
        <v>40000</v>
      </c>
      <c r="W187" s="503">
        <f t="shared" si="318"/>
        <v>0</v>
      </c>
      <c r="X187" s="503">
        <f t="shared" si="318"/>
        <v>0</v>
      </c>
      <c r="Y187" s="503">
        <f t="shared" si="318"/>
        <v>40000</v>
      </c>
      <c r="Z187" s="503">
        <f t="shared" si="318"/>
        <v>2924214</v>
      </c>
      <c r="AA187" s="503">
        <f t="shared" si="318"/>
        <v>988385</v>
      </c>
      <c r="AB187" s="503">
        <f t="shared" si="318"/>
        <v>28842</v>
      </c>
      <c r="AC187" s="503">
        <f t="shared" si="318"/>
        <v>0</v>
      </c>
      <c r="AD187" s="891">
        <f t="shared" si="318"/>
        <v>3941441</v>
      </c>
      <c r="AE187" s="701">
        <f t="shared" si="318"/>
        <v>0</v>
      </c>
      <c r="AF187" s="701">
        <f t="shared" si="318"/>
        <v>7.1</v>
      </c>
      <c r="AG187" s="502">
        <f t="shared" si="318"/>
        <v>0</v>
      </c>
      <c r="AH187" s="502">
        <f t="shared" si="318"/>
        <v>0.08</v>
      </c>
      <c r="AI187" s="502">
        <f t="shared" si="318"/>
        <v>0</v>
      </c>
      <c r="AJ187" s="502">
        <f t="shared" si="318"/>
        <v>0</v>
      </c>
      <c r="AK187" s="630">
        <f t="shared" si="318"/>
        <v>7.18</v>
      </c>
      <c r="AL187" s="629">
        <f t="shared" si="318"/>
        <v>32542915</v>
      </c>
      <c r="AM187" s="503">
        <f t="shared" si="318"/>
        <v>24101925</v>
      </c>
      <c r="AN187" s="552">
        <f t="shared" si="318"/>
        <v>40000</v>
      </c>
      <c r="AO187" s="503">
        <f t="shared" si="318"/>
        <v>8159971</v>
      </c>
      <c r="AP187" s="503">
        <f t="shared" si="318"/>
        <v>241019</v>
      </c>
      <c r="AQ187" s="503">
        <f t="shared" si="318"/>
        <v>0</v>
      </c>
      <c r="AR187" s="630">
        <f t="shared" si="318"/>
        <v>37.577200000000005</v>
      </c>
    </row>
    <row r="188" spans="1:44" ht="14.1" customHeight="1" x14ac:dyDescent="0.2">
      <c r="A188" s="499">
        <v>48</v>
      </c>
      <c r="B188" s="512">
        <v>2489</v>
      </c>
      <c r="C188" s="513">
        <v>600080188</v>
      </c>
      <c r="D188" s="512">
        <v>64040402</v>
      </c>
      <c r="E188" s="511" t="s">
        <v>612</v>
      </c>
      <c r="F188" s="499">
        <v>3113</v>
      </c>
      <c r="G188" s="511" t="s">
        <v>280</v>
      </c>
      <c r="H188" s="495" t="s">
        <v>262</v>
      </c>
      <c r="I188" s="627">
        <f t="shared" si="245"/>
        <v>31455207</v>
      </c>
      <c r="J188" s="14">
        <v>23334724</v>
      </c>
      <c r="K188" s="14">
        <v>7887136</v>
      </c>
      <c r="L188" s="14">
        <v>233347</v>
      </c>
      <c r="M188" s="14">
        <v>0</v>
      </c>
      <c r="N188" s="121">
        <v>31.228100000000001</v>
      </c>
      <c r="O188" s="696">
        <f t="shared" si="246"/>
        <v>-50000</v>
      </c>
      <c r="P188" s="492">
        <v>0</v>
      </c>
      <c r="Q188" s="492">
        <v>29190</v>
      </c>
      <c r="R188" s="492">
        <v>0</v>
      </c>
      <c r="S188" s="492">
        <v>0</v>
      </c>
      <c r="T188" s="492">
        <v>0</v>
      </c>
      <c r="U188" s="492">
        <f>O188+P188+Q188+R188+S188+T188</f>
        <v>-20810</v>
      </c>
      <c r="V188" s="492">
        <v>50000</v>
      </c>
      <c r="W188" s="492">
        <v>0</v>
      </c>
      <c r="X188" s="492">
        <v>0</v>
      </c>
      <c r="Y188" s="492">
        <f t="shared" ref="Y188:Y191" si="319">V188+W188+X188</f>
        <v>50000</v>
      </c>
      <c r="Z188" s="492">
        <f t="shared" ref="Z188:Z191" si="320">U188+Y188</f>
        <v>29190</v>
      </c>
      <c r="AA188" s="494">
        <f t="shared" ref="AA188:AA191" si="321">ROUND((U188+Y188)*33.8%,0)</f>
        <v>9866</v>
      </c>
      <c r="AB188" s="494">
        <f>ROUND(U188*1%,0)</f>
        <v>-208</v>
      </c>
      <c r="AC188" s="14">
        <v>0</v>
      </c>
      <c r="AD188" s="892">
        <f t="shared" si="250"/>
        <v>38848</v>
      </c>
      <c r="AE188" s="702">
        <v>0</v>
      </c>
      <c r="AF188" s="702">
        <v>0</v>
      </c>
      <c r="AG188" s="491">
        <v>0</v>
      </c>
      <c r="AH188" s="491">
        <v>0.04</v>
      </c>
      <c r="AI188" s="491">
        <v>0</v>
      </c>
      <c r="AJ188" s="491">
        <v>0</v>
      </c>
      <c r="AK188" s="626">
        <f>SUM(AE188:AJ188)</f>
        <v>0.04</v>
      </c>
      <c r="AL188" s="696">
        <f>I188+AD188</f>
        <v>31494055</v>
      </c>
      <c r="AM188" s="492">
        <f>J188+U188</f>
        <v>23313914</v>
      </c>
      <c r="AN188" s="492">
        <f>Y188</f>
        <v>50000</v>
      </c>
      <c r="AO188" s="492">
        <f t="shared" ref="AO188:AQ191" si="322">K188+AA188</f>
        <v>7897002</v>
      </c>
      <c r="AP188" s="492">
        <f t="shared" si="322"/>
        <v>233139</v>
      </c>
      <c r="AQ188" s="578">
        <f t="shared" si="322"/>
        <v>0</v>
      </c>
      <c r="AR188" s="626">
        <f>N188+AK188</f>
        <v>31.2681</v>
      </c>
    </row>
    <row r="189" spans="1:44" ht="14.1" customHeight="1" x14ac:dyDescent="0.2">
      <c r="A189" s="499">
        <v>48</v>
      </c>
      <c r="B189" s="512">
        <v>2489</v>
      </c>
      <c r="C189" s="513">
        <v>600080188</v>
      </c>
      <c r="D189" s="512">
        <v>64040402</v>
      </c>
      <c r="E189" s="511" t="s">
        <v>612</v>
      </c>
      <c r="F189" s="499">
        <v>3113</v>
      </c>
      <c r="G189" s="511" t="s">
        <v>799</v>
      </c>
      <c r="H189" s="495" t="s">
        <v>262</v>
      </c>
      <c r="I189" s="627">
        <f t="shared" si="245"/>
        <v>711081</v>
      </c>
      <c r="J189" s="14">
        <v>527508</v>
      </c>
      <c r="K189" s="14">
        <v>178298</v>
      </c>
      <c r="L189" s="14">
        <v>5275</v>
      </c>
      <c r="M189" s="14">
        <v>0</v>
      </c>
      <c r="N189" s="121">
        <v>1</v>
      </c>
      <c r="O189" s="696">
        <f t="shared" si="246"/>
        <v>0</v>
      </c>
      <c r="P189" s="492">
        <v>0</v>
      </c>
      <c r="Q189" s="492">
        <v>0</v>
      </c>
      <c r="R189" s="492">
        <v>0</v>
      </c>
      <c r="S189" s="492">
        <v>0</v>
      </c>
      <c r="T189" s="492">
        <v>0</v>
      </c>
      <c r="U189" s="492">
        <f>O189+P189+Q189+R189+S189+T189</f>
        <v>0</v>
      </c>
      <c r="V189" s="492">
        <v>0</v>
      </c>
      <c r="W189" s="492">
        <v>0</v>
      </c>
      <c r="X189" s="492">
        <v>0</v>
      </c>
      <c r="Y189" s="492">
        <f t="shared" ref="Y189" si="323">V189+W189+X189</f>
        <v>0</v>
      </c>
      <c r="Z189" s="492">
        <f t="shared" ref="Z189" si="324">U189+Y189</f>
        <v>0</v>
      </c>
      <c r="AA189" s="494">
        <f t="shared" ref="AA189" si="325">ROUND((U189+Y189)*33.8%,0)</f>
        <v>0</v>
      </c>
      <c r="AB189" s="494">
        <f>ROUND(U189*1%,0)</f>
        <v>0</v>
      </c>
      <c r="AC189" s="14">
        <v>0</v>
      </c>
      <c r="AD189" s="892">
        <f t="shared" si="250"/>
        <v>0</v>
      </c>
      <c r="AE189" s="702">
        <v>0</v>
      </c>
      <c r="AF189" s="702">
        <v>0</v>
      </c>
      <c r="AG189" s="491">
        <v>0</v>
      </c>
      <c r="AH189" s="491">
        <v>0</v>
      </c>
      <c r="AI189" s="491">
        <v>0</v>
      </c>
      <c r="AJ189" s="491">
        <v>0</v>
      </c>
      <c r="AK189" s="626">
        <f>SUM(AE189:AJ189)</f>
        <v>0</v>
      </c>
      <c r="AL189" s="696">
        <f>I189+AD189</f>
        <v>711081</v>
      </c>
      <c r="AM189" s="492">
        <f>J189+U189</f>
        <v>527508</v>
      </c>
      <c r="AN189" s="492">
        <f>Y189</f>
        <v>0</v>
      </c>
      <c r="AO189" s="492">
        <f t="shared" si="322"/>
        <v>178298</v>
      </c>
      <c r="AP189" s="492">
        <f t="shared" si="322"/>
        <v>5275</v>
      </c>
      <c r="AQ189" s="578">
        <f t="shared" si="322"/>
        <v>0</v>
      </c>
      <c r="AR189" s="626">
        <f>N189+AK189</f>
        <v>1</v>
      </c>
    </row>
    <row r="190" spans="1:44" ht="14.1" customHeight="1" x14ac:dyDescent="0.2">
      <c r="A190" s="499">
        <v>48</v>
      </c>
      <c r="B190" s="512">
        <v>2489</v>
      </c>
      <c r="C190" s="513">
        <v>600080188</v>
      </c>
      <c r="D190" s="512">
        <v>64040402</v>
      </c>
      <c r="E190" s="511" t="s">
        <v>612</v>
      </c>
      <c r="F190" s="499">
        <v>3113</v>
      </c>
      <c r="G190" s="514" t="s">
        <v>278</v>
      </c>
      <c r="H190" s="495" t="s">
        <v>263</v>
      </c>
      <c r="I190" s="627">
        <f t="shared" si="245"/>
        <v>0</v>
      </c>
      <c r="J190" s="490">
        <v>0</v>
      </c>
      <c r="K190" s="14">
        <v>0</v>
      </c>
      <c r="L190" s="14">
        <v>0</v>
      </c>
      <c r="M190" s="14">
        <v>0</v>
      </c>
      <c r="N190" s="682">
        <v>0</v>
      </c>
      <c r="O190" s="696">
        <f t="shared" si="246"/>
        <v>0</v>
      </c>
      <c r="P190" s="490">
        <v>2804410</v>
      </c>
      <c r="Q190" s="492">
        <v>0</v>
      </c>
      <c r="R190" s="492">
        <v>0</v>
      </c>
      <c r="S190" s="492">
        <v>0</v>
      </c>
      <c r="T190" s="492">
        <v>0</v>
      </c>
      <c r="U190" s="492">
        <f>O190+P190+Q190+R190+S190+T190</f>
        <v>2804410</v>
      </c>
      <c r="V190" s="492">
        <v>0</v>
      </c>
      <c r="W190" s="492">
        <v>0</v>
      </c>
      <c r="X190" s="492">
        <v>0</v>
      </c>
      <c r="Y190" s="492">
        <f t="shared" si="319"/>
        <v>0</v>
      </c>
      <c r="Z190" s="492">
        <f t="shared" si="320"/>
        <v>2804410</v>
      </c>
      <c r="AA190" s="494">
        <f t="shared" si="321"/>
        <v>947891</v>
      </c>
      <c r="AB190" s="494">
        <f>ROUND(U190*1%,0)</f>
        <v>28044</v>
      </c>
      <c r="AC190" s="14">
        <v>0</v>
      </c>
      <c r="AD190" s="892">
        <f t="shared" si="250"/>
        <v>3780345</v>
      </c>
      <c r="AE190" s="702">
        <v>0</v>
      </c>
      <c r="AF190" s="121">
        <v>7.6400000000000006</v>
      </c>
      <c r="AG190" s="491">
        <v>0</v>
      </c>
      <c r="AH190" s="491">
        <v>0</v>
      </c>
      <c r="AI190" s="491">
        <v>0</v>
      </c>
      <c r="AJ190" s="491">
        <v>0</v>
      </c>
      <c r="AK190" s="626">
        <f>SUM(AE190:AJ190)</f>
        <v>7.6400000000000006</v>
      </c>
      <c r="AL190" s="696">
        <f>I190+AD190</f>
        <v>3780345</v>
      </c>
      <c r="AM190" s="492">
        <f>J190+U190</f>
        <v>2804410</v>
      </c>
      <c r="AN190" s="492">
        <f>Y190</f>
        <v>0</v>
      </c>
      <c r="AO190" s="492">
        <f t="shared" si="322"/>
        <v>947891</v>
      </c>
      <c r="AP190" s="492">
        <f t="shared" si="322"/>
        <v>28044</v>
      </c>
      <c r="AQ190" s="578">
        <f t="shared" si="322"/>
        <v>0</v>
      </c>
      <c r="AR190" s="626">
        <f>N190+AK190</f>
        <v>7.6400000000000006</v>
      </c>
    </row>
    <row r="191" spans="1:44" ht="14.1" customHeight="1" x14ac:dyDescent="0.2">
      <c r="A191" s="499">
        <v>48</v>
      </c>
      <c r="B191" s="512">
        <v>2489</v>
      </c>
      <c r="C191" s="513">
        <v>600080188</v>
      </c>
      <c r="D191" s="512">
        <v>64040402</v>
      </c>
      <c r="E191" s="511" t="s">
        <v>612</v>
      </c>
      <c r="F191" s="499">
        <v>3143</v>
      </c>
      <c r="G191" s="514" t="s">
        <v>795</v>
      </c>
      <c r="H191" s="495" t="s">
        <v>262</v>
      </c>
      <c r="I191" s="627">
        <f t="shared" si="245"/>
        <v>3306608</v>
      </c>
      <c r="J191" s="14">
        <v>2452973</v>
      </c>
      <c r="K191" s="14">
        <v>829105</v>
      </c>
      <c r="L191" s="14">
        <v>24530</v>
      </c>
      <c r="M191" s="14">
        <v>0</v>
      </c>
      <c r="N191" s="121">
        <v>4.6665999999999999</v>
      </c>
      <c r="O191" s="696">
        <f t="shared" si="246"/>
        <v>0</v>
      </c>
      <c r="P191" s="492">
        <v>0</v>
      </c>
      <c r="Q191" s="492">
        <v>0</v>
      </c>
      <c r="R191" s="492">
        <v>0</v>
      </c>
      <c r="S191" s="492">
        <v>0</v>
      </c>
      <c r="T191" s="492">
        <v>0</v>
      </c>
      <c r="U191" s="492">
        <f>O191+P191+Q191+R191+S191+T191</f>
        <v>0</v>
      </c>
      <c r="V191" s="492">
        <v>0</v>
      </c>
      <c r="W191" s="492">
        <v>0</v>
      </c>
      <c r="X191" s="492">
        <v>0</v>
      </c>
      <c r="Y191" s="492">
        <f t="shared" si="319"/>
        <v>0</v>
      </c>
      <c r="Z191" s="492">
        <f t="shared" si="320"/>
        <v>0</v>
      </c>
      <c r="AA191" s="494">
        <f t="shared" si="321"/>
        <v>0</v>
      </c>
      <c r="AB191" s="494">
        <f>ROUND(U191*1%,0)</f>
        <v>0</v>
      </c>
      <c r="AC191" s="14">
        <v>0</v>
      </c>
      <c r="AD191" s="892">
        <f t="shared" si="250"/>
        <v>0</v>
      </c>
      <c r="AE191" s="702">
        <v>0</v>
      </c>
      <c r="AF191" s="702">
        <v>0</v>
      </c>
      <c r="AG191" s="491">
        <v>0</v>
      </c>
      <c r="AH191" s="491">
        <v>0</v>
      </c>
      <c r="AI191" s="491">
        <v>0</v>
      </c>
      <c r="AJ191" s="491">
        <v>0</v>
      </c>
      <c r="AK191" s="626">
        <f>SUM(AE191:AJ191)</f>
        <v>0</v>
      </c>
      <c r="AL191" s="696">
        <f>I191+AD191</f>
        <v>3306608</v>
      </c>
      <c r="AM191" s="492">
        <f>J191+U191</f>
        <v>2452973</v>
      </c>
      <c r="AN191" s="492">
        <f>Y191</f>
        <v>0</v>
      </c>
      <c r="AO191" s="492">
        <f t="shared" si="322"/>
        <v>829105</v>
      </c>
      <c r="AP191" s="492">
        <f t="shared" si="322"/>
        <v>24530</v>
      </c>
      <c r="AQ191" s="578">
        <f t="shared" si="322"/>
        <v>0</v>
      </c>
      <c r="AR191" s="626">
        <f>N191+AK191</f>
        <v>4.6665999999999999</v>
      </c>
    </row>
    <row r="192" spans="1:44" ht="14.1" customHeight="1" x14ac:dyDescent="0.2">
      <c r="A192" s="510">
        <v>48</v>
      </c>
      <c r="B192" s="508">
        <v>2489</v>
      </c>
      <c r="C192" s="509">
        <v>600080188</v>
      </c>
      <c r="D192" s="508">
        <v>64040402</v>
      </c>
      <c r="E192" s="506" t="s">
        <v>613</v>
      </c>
      <c r="F192" s="510"/>
      <c r="G192" s="506"/>
      <c r="H192" s="505"/>
      <c r="I192" s="629">
        <f t="shared" ref="I192:AR192" si="326">SUM(I188:I191)</f>
        <v>35472896</v>
      </c>
      <c r="J192" s="504">
        <f t="shared" si="326"/>
        <v>26315205</v>
      </c>
      <c r="K192" s="504">
        <f t="shared" si="326"/>
        <v>8894539</v>
      </c>
      <c r="L192" s="504">
        <f t="shared" si="326"/>
        <v>263152</v>
      </c>
      <c r="M192" s="504">
        <f t="shared" si="326"/>
        <v>0</v>
      </c>
      <c r="N192" s="885">
        <f t="shared" si="326"/>
        <v>36.8947</v>
      </c>
      <c r="O192" s="629">
        <f t="shared" si="326"/>
        <v>-50000</v>
      </c>
      <c r="P192" s="503">
        <f t="shared" si="326"/>
        <v>2804410</v>
      </c>
      <c r="Q192" s="503">
        <f t="shared" si="326"/>
        <v>29190</v>
      </c>
      <c r="R192" s="503">
        <f t="shared" si="326"/>
        <v>0</v>
      </c>
      <c r="S192" s="503">
        <f t="shared" si="326"/>
        <v>0</v>
      </c>
      <c r="T192" s="503">
        <f t="shared" si="326"/>
        <v>0</v>
      </c>
      <c r="U192" s="503">
        <f t="shared" si="326"/>
        <v>2783600</v>
      </c>
      <c r="V192" s="503">
        <f t="shared" si="326"/>
        <v>50000</v>
      </c>
      <c r="W192" s="503">
        <f t="shared" si="326"/>
        <v>0</v>
      </c>
      <c r="X192" s="503">
        <f t="shared" si="326"/>
        <v>0</v>
      </c>
      <c r="Y192" s="503">
        <f t="shared" si="326"/>
        <v>50000</v>
      </c>
      <c r="Z192" s="503">
        <f t="shared" si="326"/>
        <v>2833600</v>
      </c>
      <c r="AA192" s="503">
        <f t="shared" si="326"/>
        <v>957757</v>
      </c>
      <c r="AB192" s="503">
        <f t="shared" si="326"/>
        <v>27836</v>
      </c>
      <c r="AC192" s="503">
        <f t="shared" si="326"/>
        <v>0</v>
      </c>
      <c r="AD192" s="891">
        <f t="shared" si="326"/>
        <v>3819193</v>
      </c>
      <c r="AE192" s="701">
        <f t="shared" si="326"/>
        <v>0</v>
      </c>
      <c r="AF192" s="701">
        <f t="shared" si="326"/>
        <v>7.6400000000000006</v>
      </c>
      <c r="AG192" s="502">
        <f t="shared" si="326"/>
        <v>0</v>
      </c>
      <c r="AH192" s="502">
        <f t="shared" si="326"/>
        <v>0.04</v>
      </c>
      <c r="AI192" s="502">
        <f t="shared" si="326"/>
        <v>0</v>
      </c>
      <c r="AJ192" s="502">
        <f t="shared" si="326"/>
        <v>0</v>
      </c>
      <c r="AK192" s="630">
        <f t="shared" si="326"/>
        <v>7.6800000000000006</v>
      </c>
      <c r="AL192" s="629">
        <f t="shared" si="326"/>
        <v>39292089</v>
      </c>
      <c r="AM192" s="503">
        <f t="shared" si="326"/>
        <v>29098805</v>
      </c>
      <c r="AN192" s="552">
        <f t="shared" si="326"/>
        <v>50000</v>
      </c>
      <c r="AO192" s="503">
        <f t="shared" si="326"/>
        <v>9852296</v>
      </c>
      <c r="AP192" s="503">
        <f t="shared" si="326"/>
        <v>290988</v>
      </c>
      <c r="AQ192" s="503">
        <f t="shared" si="326"/>
        <v>0</v>
      </c>
      <c r="AR192" s="630">
        <f t="shared" si="326"/>
        <v>44.574700000000007</v>
      </c>
    </row>
    <row r="193" spans="1:44" ht="14.1" customHeight="1" x14ac:dyDescent="0.2">
      <c r="A193" s="499">
        <v>49</v>
      </c>
      <c r="B193" s="512">
        <v>2473</v>
      </c>
      <c r="C193" s="513">
        <v>600080285</v>
      </c>
      <c r="D193" s="512">
        <v>65642376</v>
      </c>
      <c r="E193" s="511" t="s">
        <v>614</v>
      </c>
      <c r="F193" s="499">
        <v>3113</v>
      </c>
      <c r="G193" s="511" t="s">
        <v>280</v>
      </c>
      <c r="H193" s="495" t="s">
        <v>262</v>
      </c>
      <c r="I193" s="627">
        <f t="shared" si="245"/>
        <v>42836340</v>
      </c>
      <c r="J193" s="14">
        <v>31777701</v>
      </c>
      <c r="K193" s="14">
        <v>10740863</v>
      </c>
      <c r="L193" s="14">
        <v>317776</v>
      </c>
      <c r="M193" s="14">
        <v>0</v>
      </c>
      <c r="N193" s="121">
        <v>43.412199999999999</v>
      </c>
      <c r="O193" s="696">
        <f t="shared" si="246"/>
        <v>-125000</v>
      </c>
      <c r="P193" s="492">
        <v>0</v>
      </c>
      <c r="Q193" s="492">
        <v>166800</v>
      </c>
      <c r="R193" s="492">
        <v>0</v>
      </c>
      <c r="S193" s="492">
        <v>0</v>
      </c>
      <c r="T193" s="492">
        <v>0</v>
      </c>
      <c r="U193" s="492">
        <f>O193+P193+Q193+R193+S193+T193</f>
        <v>41800</v>
      </c>
      <c r="V193" s="492">
        <v>125000</v>
      </c>
      <c r="W193" s="492">
        <v>0</v>
      </c>
      <c r="X193" s="492">
        <v>0</v>
      </c>
      <c r="Y193" s="492">
        <f t="shared" ref="Y193:Y196" si="327">V193+W193+X193</f>
        <v>125000</v>
      </c>
      <c r="Z193" s="492">
        <f t="shared" ref="Z193:Z196" si="328">U193+Y193</f>
        <v>166800</v>
      </c>
      <c r="AA193" s="494">
        <f t="shared" ref="AA193:AA196" si="329">ROUND((U193+Y193)*33.8%,0)</f>
        <v>56378</v>
      </c>
      <c r="AB193" s="494">
        <f>ROUND(U193*1%,0)</f>
        <v>418</v>
      </c>
      <c r="AC193" s="14">
        <v>0</v>
      </c>
      <c r="AD193" s="892">
        <f t="shared" si="250"/>
        <v>223596</v>
      </c>
      <c r="AE193" s="702">
        <v>-0.17</v>
      </c>
      <c r="AF193" s="702">
        <v>0</v>
      </c>
      <c r="AG193" s="491">
        <v>0</v>
      </c>
      <c r="AH193" s="491">
        <v>0.24</v>
      </c>
      <c r="AI193" s="491">
        <v>0</v>
      </c>
      <c r="AJ193" s="491">
        <v>0</v>
      </c>
      <c r="AK193" s="626">
        <f>SUM(AE193:AJ193)</f>
        <v>6.9999999999999979E-2</v>
      </c>
      <c r="AL193" s="696">
        <f>I193+AD193</f>
        <v>43059936</v>
      </c>
      <c r="AM193" s="492">
        <f>J193+U193</f>
        <v>31819501</v>
      </c>
      <c r="AN193" s="492">
        <f>Y193</f>
        <v>125000</v>
      </c>
      <c r="AO193" s="492">
        <f t="shared" ref="AO193:AQ196" si="330">K193+AA193</f>
        <v>10797241</v>
      </c>
      <c r="AP193" s="492">
        <f t="shared" si="330"/>
        <v>318194</v>
      </c>
      <c r="AQ193" s="578">
        <f t="shared" si="330"/>
        <v>0</v>
      </c>
      <c r="AR193" s="626">
        <f>N193+AK193</f>
        <v>43.482199999999999</v>
      </c>
    </row>
    <row r="194" spans="1:44" ht="14.1" customHeight="1" x14ac:dyDescent="0.2">
      <c r="A194" s="499">
        <v>49</v>
      </c>
      <c r="B194" s="512">
        <v>2473</v>
      </c>
      <c r="C194" s="513">
        <v>600080285</v>
      </c>
      <c r="D194" s="512">
        <v>65642376</v>
      </c>
      <c r="E194" s="511" t="s">
        <v>614</v>
      </c>
      <c r="F194" s="499">
        <v>3113</v>
      </c>
      <c r="G194" s="511" t="s">
        <v>799</v>
      </c>
      <c r="H194" s="495" t="s">
        <v>262</v>
      </c>
      <c r="I194" s="627">
        <f t="shared" si="245"/>
        <v>839357</v>
      </c>
      <c r="J194" s="14">
        <v>622668</v>
      </c>
      <c r="K194" s="14">
        <v>210462</v>
      </c>
      <c r="L194" s="14">
        <v>6227</v>
      </c>
      <c r="M194" s="14">
        <v>0</v>
      </c>
      <c r="N194" s="121">
        <v>1</v>
      </c>
      <c r="O194" s="696">
        <f t="shared" si="246"/>
        <v>0</v>
      </c>
      <c r="P194" s="492">
        <v>0</v>
      </c>
      <c r="Q194" s="492">
        <v>0</v>
      </c>
      <c r="R194" s="492">
        <v>0</v>
      </c>
      <c r="S194" s="492">
        <v>0</v>
      </c>
      <c r="T194" s="492">
        <v>0</v>
      </c>
      <c r="U194" s="492">
        <f>O194+P194+Q194+R194+S194+T194</f>
        <v>0</v>
      </c>
      <c r="V194" s="492">
        <v>0</v>
      </c>
      <c r="W194" s="492">
        <v>0</v>
      </c>
      <c r="X194" s="492">
        <v>0</v>
      </c>
      <c r="Y194" s="492">
        <f t="shared" ref="Y194" si="331">V194+W194+X194</f>
        <v>0</v>
      </c>
      <c r="Z194" s="492">
        <f t="shared" ref="Z194" si="332">U194+Y194</f>
        <v>0</v>
      </c>
      <c r="AA194" s="494">
        <f t="shared" ref="AA194" si="333">ROUND((U194+Y194)*33.8%,0)</f>
        <v>0</v>
      </c>
      <c r="AB194" s="494">
        <f>ROUND(U194*1%,0)</f>
        <v>0</v>
      </c>
      <c r="AC194" s="14">
        <v>0</v>
      </c>
      <c r="AD194" s="892">
        <f t="shared" si="250"/>
        <v>0</v>
      </c>
      <c r="AE194" s="702">
        <v>0</v>
      </c>
      <c r="AF194" s="702">
        <v>0</v>
      </c>
      <c r="AG194" s="491">
        <v>0</v>
      </c>
      <c r="AH194" s="491">
        <v>0</v>
      </c>
      <c r="AI194" s="491">
        <v>0</v>
      </c>
      <c r="AJ194" s="491">
        <v>0</v>
      </c>
      <c r="AK194" s="626">
        <f>SUM(AE194:AJ194)</f>
        <v>0</v>
      </c>
      <c r="AL194" s="696">
        <f>I194+AD194</f>
        <v>839357</v>
      </c>
      <c r="AM194" s="492">
        <f>J194+U194</f>
        <v>622668</v>
      </c>
      <c r="AN194" s="492">
        <f>Y194</f>
        <v>0</v>
      </c>
      <c r="AO194" s="492">
        <f t="shared" si="330"/>
        <v>210462</v>
      </c>
      <c r="AP194" s="492">
        <f t="shared" si="330"/>
        <v>6227</v>
      </c>
      <c r="AQ194" s="578">
        <f t="shared" si="330"/>
        <v>0</v>
      </c>
      <c r="AR194" s="626">
        <f>N194+AK194</f>
        <v>1</v>
      </c>
    </row>
    <row r="195" spans="1:44" ht="14.1" customHeight="1" x14ac:dyDescent="0.2">
      <c r="A195" s="499">
        <v>49</v>
      </c>
      <c r="B195" s="512">
        <v>2473</v>
      </c>
      <c r="C195" s="513">
        <v>600080285</v>
      </c>
      <c r="D195" s="512">
        <v>65642376</v>
      </c>
      <c r="E195" s="511" t="s">
        <v>614</v>
      </c>
      <c r="F195" s="499">
        <v>3113</v>
      </c>
      <c r="G195" s="514" t="s">
        <v>278</v>
      </c>
      <c r="H195" s="495" t="s">
        <v>263</v>
      </c>
      <c r="I195" s="627">
        <f t="shared" si="245"/>
        <v>0</v>
      </c>
      <c r="J195" s="490">
        <v>0</v>
      </c>
      <c r="K195" s="14">
        <v>0</v>
      </c>
      <c r="L195" s="14">
        <v>0</v>
      </c>
      <c r="M195" s="14">
        <v>0</v>
      </c>
      <c r="N195" s="682">
        <v>0</v>
      </c>
      <c r="O195" s="696">
        <f t="shared" si="246"/>
        <v>0</v>
      </c>
      <c r="P195" s="490">
        <v>8171160</v>
      </c>
      <c r="Q195" s="492">
        <v>0</v>
      </c>
      <c r="R195" s="492">
        <v>0</v>
      </c>
      <c r="S195" s="492">
        <v>0</v>
      </c>
      <c r="T195" s="492">
        <v>0</v>
      </c>
      <c r="U195" s="492">
        <f>O195+P195+Q195+R195+S195+T195</f>
        <v>8171160</v>
      </c>
      <c r="V195" s="492">
        <v>0</v>
      </c>
      <c r="W195" s="492">
        <v>0</v>
      </c>
      <c r="X195" s="492">
        <v>0</v>
      </c>
      <c r="Y195" s="492">
        <f t="shared" si="327"/>
        <v>0</v>
      </c>
      <c r="Z195" s="492">
        <f t="shared" si="328"/>
        <v>8171160</v>
      </c>
      <c r="AA195" s="494">
        <f t="shared" si="329"/>
        <v>2761852</v>
      </c>
      <c r="AB195" s="494">
        <f>ROUND(U195*1%,0)</f>
        <v>81712</v>
      </c>
      <c r="AC195" s="14">
        <v>0</v>
      </c>
      <c r="AD195" s="892">
        <f t="shared" si="250"/>
        <v>11014724</v>
      </c>
      <c r="AE195" s="702">
        <v>0</v>
      </c>
      <c r="AF195" s="121">
        <v>20.25</v>
      </c>
      <c r="AG195" s="491">
        <v>0</v>
      </c>
      <c r="AH195" s="491">
        <v>0</v>
      </c>
      <c r="AI195" s="491">
        <v>0</v>
      </c>
      <c r="AJ195" s="491">
        <v>0</v>
      </c>
      <c r="AK195" s="626">
        <f>SUM(AE195:AJ195)</f>
        <v>20.25</v>
      </c>
      <c r="AL195" s="696">
        <f>I195+AD195</f>
        <v>11014724</v>
      </c>
      <c r="AM195" s="492">
        <f>J195+U195</f>
        <v>8171160</v>
      </c>
      <c r="AN195" s="492">
        <f>Y195</f>
        <v>0</v>
      </c>
      <c r="AO195" s="492">
        <f t="shared" si="330"/>
        <v>2761852</v>
      </c>
      <c r="AP195" s="492">
        <f t="shared" si="330"/>
        <v>81712</v>
      </c>
      <c r="AQ195" s="578">
        <f t="shared" si="330"/>
        <v>0</v>
      </c>
      <c r="AR195" s="626">
        <f>N195+AK195</f>
        <v>20.25</v>
      </c>
    </row>
    <row r="196" spans="1:44" ht="14.1" customHeight="1" x14ac:dyDescent="0.2">
      <c r="A196" s="499">
        <v>49</v>
      </c>
      <c r="B196" s="512">
        <v>2473</v>
      </c>
      <c r="C196" s="513">
        <v>600080285</v>
      </c>
      <c r="D196" s="512">
        <v>65642376</v>
      </c>
      <c r="E196" s="511" t="s">
        <v>614</v>
      </c>
      <c r="F196" s="499">
        <v>3143</v>
      </c>
      <c r="G196" s="514" t="s">
        <v>794</v>
      </c>
      <c r="H196" s="495" t="s">
        <v>262</v>
      </c>
      <c r="I196" s="627">
        <f t="shared" si="245"/>
        <v>5316584</v>
      </c>
      <c r="J196" s="14">
        <v>3944053</v>
      </c>
      <c r="K196" s="14">
        <v>1333090</v>
      </c>
      <c r="L196" s="14">
        <v>39441</v>
      </c>
      <c r="M196" s="14">
        <v>0</v>
      </c>
      <c r="N196" s="121">
        <v>7.6196999999999999</v>
      </c>
      <c r="O196" s="696">
        <f t="shared" si="246"/>
        <v>0</v>
      </c>
      <c r="P196" s="492">
        <v>0</v>
      </c>
      <c r="Q196" s="492">
        <v>0</v>
      </c>
      <c r="R196" s="492">
        <v>0</v>
      </c>
      <c r="S196" s="492">
        <v>0</v>
      </c>
      <c r="T196" s="492">
        <v>0</v>
      </c>
      <c r="U196" s="492">
        <f>O196+P196+Q196+R196+S196+T196</f>
        <v>0</v>
      </c>
      <c r="V196" s="492">
        <v>0</v>
      </c>
      <c r="W196" s="492">
        <v>0</v>
      </c>
      <c r="X196" s="492">
        <v>0</v>
      </c>
      <c r="Y196" s="492">
        <f t="shared" si="327"/>
        <v>0</v>
      </c>
      <c r="Z196" s="492">
        <f t="shared" si="328"/>
        <v>0</v>
      </c>
      <c r="AA196" s="494">
        <f t="shared" si="329"/>
        <v>0</v>
      </c>
      <c r="AB196" s="494">
        <f>ROUND(U196*1%,0)</f>
        <v>0</v>
      </c>
      <c r="AC196" s="14">
        <v>0</v>
      </c>
      <c r="AD196" s="892">
        <f t="shared" si="250"/>
        <v>0</v>
      </c>
      <c r="AE196" s="702">
        <v>0</v>
      </c>
      <c r="AF196" s="702">
        <v>0</v>
      </c>
      <c r="AG196" s="491">
        <v>0</v>
      </c>
      <c r="AH196" s="491">
        <v>0</v>
      </c>
      <c r="AI196" s="491">
        <v>0</v>
      </c>
      <c r="AJ196" s="491">
        <v>0</v>
      </c>
      <c r="AK196" s="626">
        <f>SUM(AE196:AJ196)</f>
        <v>0</v>
      </c>
      <c r="AL196" s="696">
        <f>I196+AD196</f>
        <v>5316584</v>
      </c>
      <c r="AM196" s="492">
        <f>J196+U196</f>
        <v>3944053</v>
      </c>
      <c r="AN196" s="492">
        <f>Y196</f>
        <v>0</v>
      </c>
      <c r="AO196" s="492">
        <f t="shared" si="330"/>
        <v>1333090</v>
      </c>
      <c r="AP196" s="492">
        <f t="shared" si="330"/>
        <v>39441</v>
      </c>
      <c r="AQ196" s="578">
        <f t="shared" si="330"/>
        <v>0</v>
      </c>
      <c r="AR196" s="626">
        <f>N196+AK196</f>
        <v>7.6196999999999999</v>
      </c>
    </row>
    <row r="197" spans="1:44" ht="14.1" customHeight="1" x14ac:dyDescent="0.2">
      <c r="A197" s="510">
        <v>49</v>
      </c>
      <c r="B197" s="508">
        <v>2473</v>
      </c>
      <c r="C197" s="509">
        <v>600080285</v>
      </c>
      <c r="D197" s="508">
        <v>65642376</v>
      </c>
      <c r="E197" s="506" t="s">
        <v>615</v>
      </c>
      <c r="F197" s="510"/>
      <c r="G197" s="506"/>
      <c r="H197" s="505"/>
      <c r="I197" s="629">
        <f t="shared" ref="I197:AR197" si="334">SUM(I193:I196)</f>
        <v>48992281</v>
      </c>
      <c r="J197" s="504">
        <f t="shared" si="334"/>
        <v>36344422</v>
      </c>
      <c r="K197" s="504">
        <f t="shared" si="334"/>
        <v>12284415</v>
      </c>
      <c r="L197" s="504">
        <f t="shared" si="334"/>
        <v>363444</v>
      </c>
      <c r="M197" s="504">
        <f t="shared" si="334"/>
        <v>0</v>
      </c>
      <c r="N197" s="885">
        <f t="shared" si="334"/>
        <v>52.0319</v>
      </c>
      <c r="O197" s="629">
        <f t="shared" si="334"/>
        <v>-125000</v>
      </c>
      <c r="P197" s="503">
        <f t="shared" si="334"/>
        <v>8171160</v>
      </c>
      <c r="Q197" s="503">
        <f t="shared" si="334"/>
        <v>166800</v>
      </c>
      <c r="R197" s="503">
        <f t="shared" si="334"/>
        <v>0</v>
      </c>
      <c r="S197" s="503">
        <f t="shared" si="334"/>
        <v>0</v>
      </c>
      <c r="T197" s="503">
        <f t="shared" si="334"/>
        <v>0</v>
      </c>
      <c r="U197" s="503">
        <f t="shared" si="334"/>
        <v>8212960</v>
      </c>
      <c r="V197" s="503">
        <f t="shared" si="334"/>
        <v>125000</v>
      </c>
      <c r="W197" s="503">
        <f t="shared" si="334"/>
        <v>0</v>
      </c>
      <c r="X197" s="503">
        <f t="shared" si="334"/>
        <v>0</v>
      </c>
      <c r="Y197" s="503">
        <f t="shared" si="334"/>
        <v>125000</v>
      </c>
      <c r="Z197" s="503">
        <f t="shared" si="334"/>
        <v>8337960</v>
      </c>
      <c r="AA197" s="503">
        <f t="shared" si="334"/>
        <v>2818230</v>
      </c>
      <c r="AB197" s="503">
        <f t="shared" si="334"/>
        <v>82130</v>
      </c>
      <c r="AC197" s="503">
        <f t="shared" si="334"/>
        <v>0</v>
      </c>
      <c r="AD197" s="891">
        <f t="shared" si="334"/>
        <v>11238320</v>
      </c>
      <c r="AE197" s="701">
        <f t="shared" si="334"/>
        <v>-0.17</v>
      </c>
      <c r="AF197" s="701">
        <f t="shared" si="334"/>
        <v>20.25</v>
      </c>
      <c r="AG197" s="502">
        <f t="shared" si="334"/>
        <v>0</v>
      </c>
      <c r="AH197" s="502">
        <f t="shared" si="334"/>
        <v>0.24</v>
      </c>
      <c r="AI197" s="502">
        <f t="shared" si="334"/>
        <v>0</v>
      </c>
      <c r="AJ197" s="502">
        <f t="shared" si="334"/>
        <v>0</v>
      </c>
      <c r="AK197" s="630">
        <f t="shared" si="334"/>
        <v>20.32</v>
      </c>
      <c r="AL197" s="629">
        <f t="shared" si="334"/>
        <v>60230601</v>
      </c>
      <c r="AM197" s="503">
        <f t="shared" si="334"/>
        <v>44557382</v>
      </c>
      <c r="AN197" s="552">
        <f t="shared" si="334"/>
        <v>125000</v>
      </c>
      <c r="AO197" s="503">
        <f t="shared" si="334"/>
        <v>15102645</v>
      </c>
      <c r="AP197" s="503">
        <f t="shared" si="334"/>
        <v>445574</v>
      </c>
      <c r="AQ197" s="503">
        <f t="shared" si="334"/>
        <v>0</v>
      </c>
      <c r="AR197" s="630">
        <f t="shared" si="334"/>
        <v>72.351900000000001</v>
      </c>
    </row>
    <row r="198" spans="1:44" ht="14.1" customHeight="1" x14ac:dyDescent="0.2">
      <c r="A198" s="499">
        <v>50</v>
      </c>
      <c r="B198" s="512">
        <v>2490</v>
      </c>
      <c r="C198" s="513">
        <v>600080005</v>
      </c>
      <c r="D198" s="512">
        <v>46746757</v>
      </c>
      <c r="E198" s="511" t="s">
        <v>616</v>
      </c>
      <c r="F198" s="499">
        <v>3113</v>
      </c>
      <c r="G198" s="511" t="s">
        <v>280</v>
      </c>
      <c r="H198" s="495" t="s">
        <v>262</v>
      </c>
      <c r="I198" s="627">
        <f t="shared" si="245"/>
        <v>25536630</v>
      </c>
      <c r="J198" s="14">
        <v>18944088</v>
      </c>
      <c r="K198" s="14">
        <v>6403101</v>
      </c>
      <c r="L198" s="14">
        <v>189441</v>
      </c>
      <c r="M198" s="14">
        <v>0</v>
      </c>
      <c r="N198" s="121">
        <v>26.091000000000001</v>
      </c>
      <c r="O198" s="696">
        <f t="shared" si="246"/>
        <v>-40000</v>
      </c>
      <c r="P198" s="492">
        <v>0</v>
      </c>
      <c r="Q198" s="492">
        <v>63940</v>
      </c>
      <c r="R198" s="492">
        <v>0</v>
      </c>
      <c r="S198" s="492">
        <v>0</v>
      </c>
      <c r="T198" s="492">
        <v>0</v>
      </c>
      <c r="U198" s="492">
        <f>O198+P198+Q198+R198+S198+T198</f>
        <v>23940</v>
      </c>
      <c r="V198" s="492">
        <v>40000</v>
      </c>
      <c r="W198" s="492">
        <v>0</v>
      </c>
      <c r="X198" s="492">
        <v>0</v>
      </c>
      <c r="Y198" s="492">
        <f t="shared" ref="Y198:Y201" si="335">V198+W198+X198</f>
        <v>40000</v>
      </c>
      <c r="Z198" s="492">
        <f t="shared" ref="Z198:Z201" si="336">U198+Y198</f>
        <v>63940</v>
      </c>
      <c r="AA198" s="494">
        <f t="shared" ref="AA198:AA201" si="337">ROUND((U198+Y198)*33.8%,0)</f>
        <v>21612</v>
      </c>
      <c r="AB198" s="494">
        <f>ROUND(U198*1%,0)</f>
        <v>239</v>
      </c>
      <c r="AC198" s="14">
        <v>0</v>
      </c>
      <c r="AD198" s="892">
        <f t="shared" si="250"/>
        <v>85791</v>
      </c>
      <c r="AE198" s="702">
        <v>-0.05</v>
      </c>
      <c r="AF198" s="702">
        <v>0</v>
      </c>
      <c r="AG198" s="491">
        <v>0</v>
      </c>
      <c r="AH198" s="491">
        <v>0.09</v>
      </c>
      <c r="AI198" s="491">
        <v>0</v>
      </c>
      <c r="AJ198" s="491">
        <v>0</v>
      </c>
      <c r="AK198" s="626">
        <f>SUM(AE198:AJ198)</f>
        <v>3.9999999999999994E-2</v>
      </c>
      <c r="AL198" s="696">
        <f>I198+AD198</f>
        <v>25622421</v>
      </c>
      <c r="AM198" s="492">
        <f>J198+U198</f>
        <v>18968028</v>
      </c>
      <c r="AN198" s="492">
        <f>Y198</f>
        <v>40000</v>
      </c>
      <c r="AO198" s="492">
        <f t="shared" ref="AO198:AQ201" si="338">K198+AA198</f>
        <v>6424713</v>
      </c>
      <c r="AP198" s="492">
        <f t="shared" si="338"/>
        <v>189680</v>
      </c>
      <c r="AQ198" s="578">
        <f t="shared" si="338"/>
        <v>0</v>
      </c>
      <c r="AR198" s="626">
        <f>N198+AK198</f>
        <v>26.131</v>
      </c>
    </row>
    <row r="199" spans="1:44" ht="14.1" customHeight="1" x14ac:dyDescent="0.2">
      <c r="A199" s="499">
        <v>50</v>
      </c>
      <c r="B199" s="512">
        <v>2490</v>
      </c>
      <c r="C199" s="513">
        <v>600080005</v>
      </c>
      <c r="D199" s="512">
        <v>46746757</v>
      </c>
      <c r="E199" s="511" t="s">
        <v>616</v>
      </c>
      <c r="F199" s="499">
        <v>3113</v>
      </c>
      <c r="G199" s="511" t="s">
        <v>799</v>
      </c>
      <c r="H199" s="495" t="s">
        <v>262</v>
      </c>
      <c r="I199" s="627">
        <f t="shared" si="245"/>
        <v>588075</v>
      </c>
      <c r="J199" s="14">
        <v>436257</v>
      </c>
      <c r="K199" s="14">
        <v>147455</v>
      </c>
      <c r="L199" s="14">
        <v>4363</v>
      </c>
      <c r="M199" s="14">
        <v>0</v>
      </c>
      <c r="N199" s="121">
        <v>0.77270000000000005</v>
      </c>
      <c r="O199" s="696">
        <f t="shared" si="246"/>
        <v>0</v>
      </c>
      <c r="P199" s="492">
        <v>0</v>
      </c>
      <c r="Q199" s="492">
        <v>0</v>
      </c>
      <c r="R199" s="492">
        <v>0</v>
      </c>
      <c r="S199" s="492">
        <v>0</v>
      </c>
      <c r="T199" s="492">
        <v>0</v>
      </c>
      <c r="U199" s="492">
        <f>O199+P199+Q199+R199+S199+T199</f>
        <v>0</v>
      </c>
      <c r="V199" s="492">
        <v>0</v>
      </c>
      <c r="W199" s="492">
        <v>0</v>
      </c>
      <c r="X199" s="492">
        <v>0</v>
      </c>
      <c r="Y199" s="492">
        <f t="shared" ref="Y199" si="339">V199+W199+X199</f>
        <v>0</v>
      </c>
      <c r="Z199" s="492">
        <f t="shared" ref="Z199" si="340">U199+Y199</f>
        <v>0</v>
      </c>
      <c r="AA199" s="494">
        <f t="shared" ref="AA199" si="341">ROUND((U199+Y199)*33.8%,0)</f>
        <v>0</v>
      </c>
      <c r="AB199" s="494">
        <f>ROUND(U199*1%,0)</f>
        <v>0</v>
      </c>
      <c r="AC199" s="14">
        <v>0</v>
      </c>
      <c r="AD199" s="892">
        <f t="shared" si="250"/>
        <v>0</v>
      </c>
      <c r="AE199" s="702">
        <v>0</v>
      </c>
      <c r="AF199" s="702">
        <v>0</v>
      </c>
      <c r="AG199" s="491">
        <v>0</v>
      </c>
      <c r="AH199" s="491">
        <v>0</v>
      </c>
      <c r="AI199" s="491">
        <v>0</v>
      </c>
      <c r="AJ199" s="491">
        <v>0</v>
      </c>
      <c r="AK199" s="626">
        <f>SUM(AE199:AJ199)</f>
        <v>0</v>
      </c>
      <c r="AL199" s="696">
        <f>I199+AD199</f>
        <v>588075</v>
      </c>
      <c r="AM199" s="492">
        <f>J199+U199</f>
        <v>436257</v>
      </c>
      <c r="AN199" s="492">
        <f>Y199</f>
        <v>0</v>
      </c>
      <c r="AO199" s="492">
        <f t="shared" si="338"/>
        <v>147455</v>
      </c>
      <c r="AP199" s="492">
        <f t="shared" si="338"/>
        <v>4363</v>
      </c>
      <c r="AQ199" s="578">
        <f t="shared" si="338"/>
        <v>0</v>
      </c>
      <c r="AR199" s="626">
        <f>N199+AK199</f>
        <v>0.77270000000000005</v>
      </c>
    </row>
    <row r="200" spans="1:44" ht="14.1" customHeight="1" x14ac:dyDescent="0.2">
      <c r="A200" s="499">
        <v>50</v>
      </c>
      <c r="B200" s="512">
        <v>2490</v>
      </c>
      <c r="C200" s="513">
        <v>600080005</v>
      </c>
      <c r="D200" s="512">
        <v>46746757</v>
      </c>
      <c r="E200" s="511" t="s">
        <v>616</v>
      </c>
      <c r="F200" s="499">
        <v>3113</v>
      </c>
      <c r="G200" s="514" t="s">
        <v>278</v>
      </c>
      <c r="H200" s="495" t="s">
        <v>263</v>
      </c>
      <c r="I200" s="627">
        <f t="shared" si="245"/>
        <v>0</v>
      </c>
      <c r="J200" s="490">
        <v>0</v>
      </c>
      <c r="K200" s="14">
        <v>0</v>
      </c>
      <c r="L200" s="14">
        <v>0</v>
      </c>
      <c r="M200" s="14">
        <v>0</v>
      </c>
      <c r="N200" s="682">
        <v>0</v>
      </c>
      <c r="O200" s="696">
        <f t="shared" si="246"/>
        <v>0</v>
      </c>
      <c r="P200" s="490">
        <f>2101737+181889</f>
        <v>2283626</v>
      </c>
      <c r="Q200" s="492">
        <v>0</v>
      </c>
      <c r="R200" s="492">
        <v>0</v>
      </c>
      <c r="S200" s="492">
        <v>0</v>
      </c>
      <c r="T200" s="492">
        <v>0</v>
      </c>
      <c r="U200" s="492">
        <f>O200+P200+Q200+R200+S200+T200</f>
        <v>2283626</v>
      </c>
      <c r="V200" s="492">
        <v>0</v>
      </c>
      <c r="W200" s="492">
        <v>0</v>
      </c>
      <c r="X200" s="492">
        <v>0</v>
      </c>
      <c r="Y200" s="492">
        <f t="shared" si="335"/>
        <v>0</v>
      </c>
      <c r="Z200" s="492">
        <f t="shared" si="336"/>
        <v>2283626</v>
      </c>
      <c r="AA200" s="494">
        <f t="shared" si="337"/>
        <v>771866</v>
      </c>
      <c r="AB200" s="494">
        <f>ROUND(U200*1%,0)</f>
        <v>22836</v>
      </c>
      <c r="AC200" s="14">
        <v>0</v>
      </c>
      <c r="AD200" s="892">
        <f t="shared" si="250"/>
        <v>3078328</v>
      </c>
      <c r="AE200" s="702">
        <v>0</v>
      </c>
      <c r="AF200" s="121">
        <f>4.98+0.46</f>
        <v>5.44</v>
      </c>
      <c r="AG200" s="491">
        <v>0</v>
      </c>
      <c r="AH200" s="491">
        <v>0</v>
      </c>
      <c r="AI200" s="491">
        <v>0</v>
      </c>
      <c r="AJ200" s="491">
        <v>0</v>
      </c>
      <c r="AK200" s="626">
        <f>SUM(AE200:AJ200)</f>
        <v>5.44</v>
      </c>
      <c r="AL200" s="696">
        <f>I200+AD200</f>
        <v>3078328</v>
      </c>
      <c r="AM200" s="492">
        <f>J200+U200</f>
        <v>2283626</v>
      </c>
      <c r="AN200" s="492">
        <f>Y200</f>
        <v>0</v>
      </c>
      <c r="AO200" s="492">
        <f t="shared" si="338"/>
        <v>771866</v>
      </c>
      <c r="AP200" s="492">
        <f t="shared" si="338"/>
        <v>22836</v>
      </c>
      <c r="AQ200" s="578">
        <f t="shared" si="338"/>
        <v>0</v>
      </c>
      <c r="AR200" s="626">
        <f>N200+AK200</f>
        <v>5.44</v>
      </c>
    </row>
    <row r="201" spans="1:44" ht="14.1" customHeight="1" x14ac:dyDescent="0.2">
      <c r="A201" s="499">
        <v>50</v>
      </c>
      <c r="B201" s="512">
        <v>2490</v>
      </c>
      <c r="C201" s="513">
        <v>600080005</v>
      </c>
      <c r="D201" s="512">
        <v>46746757</v>
      </c>
      <c r="E201" s="511" t="s">
        <v>616</v>
      </c>
      <c r="F201" s="499">
        <v>3143</v>
      </c>
      <c r="G201" s="514" t="s">
        <v>795</v>
      </c>
      <c r="H201" s="495" t="s">
        <v>262</v>
      </c>
      <c r="I201" s="627">
        <f t="shared" si="245"/>
        <v>3088709</v>
      </c>
      <c r="J201" s="14">
        <v>2291327</v>
      </c>
      <c r="K201" s="14">
        <v>774469</v>
      </c>
      <c r="L201" s="14">
        <v>22913</v>
      </c>
      <c r="M201" s="14">
        <v>0</v>
      </c>
      <c r="N201" s="121">
        <v>4.3</v>
      </c>
      <c r="O201" s="696">
        <f t="shared" si="246"/>
        <v>0</v>
      </c>
      <c r="P201" s="492">
        <v>0</v>
      </c>
      <c r="Q201" s="492">
        <v>0</v>
      </c>
      <c r="R201" s="492">
        <v>0</v>
      </c>
      <c r="S201" s="492">
        <v>0</v>
      </c>
      <c r="T201" s="492">
        <v>0</v>
      </c>
      <c r="U201" s="492">
        <f>O201+P201+Q201+R201+S201+T201</f>
        <v>0</v>
      </c>
      <c r="V201" s="492">
        <v>0</v>
      </c>
      <c r="W201" s="492">
        <v>0</v>
      </c>
      <c r="X201" s="492">
        <v>0</v>
      </c>
      <c r="Y201" s="492">
        <f t="shared" si="335"/>
        <v>0</v>
      </c>
      <c r="Z201" s="492">
        <f t="shared" si="336"/>
        <v>0</v>
      </c>
      <c r="AA201" s="494">
        <f t="shared" si="337"/>
        <v>0</v>
      </c>
      <c r="AB201" s="494">
        <f>ROUND(U201*1%,0)</f>
        <v>0</v>
      </c>
      <c r="AC201" s="14">
        <v>0</v>
      </c>
      <c r="AD201" s="892">
        <f t="shared" si="250"/>
        <v>0</v>
      </c>
      <c r="AE201" s="702">
        <v>0</v>
      </c>
      <c r="AF201" s="702">
        <v>0</v>
      </c>
      <c r="AG201" s="491">
        <v>0</v>
      </c>
      <c r="AH201" s="491">
        <v>0</v>
      </c>
      <c r="AI201" s="491">
        <v>0</v>
      </c>
      <c r="AJ201" s="491">
        <v>0</v>
      </c>
      <c r="AK201" s="626">
        <f>SUM(AE201:AJ201)</f>
        <v>0</v>
      </c>
      <c r="AL201" s="696">
        <f>I201+AD201</f>
        <v>3088709</v>
      </c>
      <c r="AM201" s="492">
        <f>J201+U201</f>
        <v>2291327</v>
      </c>
      <c r="AN201" s="492">
        <f>Y201</f>
        <v>0</v>
      </c>
      <c r="AO201" s="492">
        <f t="shared" si="338"/>
        <v>774469</v>
      </c>
      <c r="AP201" s="492">
        <f t="shared" si="338"/>
        <v>22913</v>
      </c>
      <c r="AQ201" s="578">
        <f t="shared" si="338"/>
        <v>0</v>
      </c>
      <c r="AR201" s="626">
        <f>N201+AK201</f>
        <v>4.3</v>
      </c>
    </row>
    <row r="202" spans="1:44" ht="14.1" customHeight="1" x14ac:dyDescent="0.2">
      <c r="A202" s="510">
        <v>50</v>
      </c>
      <c r="B202" s="508">
        <v>2490</v>
      </c>
      <c r="C202" s="509">
        <v>600080005</v>
      </c>
      <c r="D202" s="508">
        <v>46746757</v>
      </c>
      <c r="E202" s="506" t="s">
        <v>617</v>
      </c>
      <c r="F202" s="510"/>
      <c r="G202" s="506"/>
      <c r="H202" s="505"/>
      <c r="I202" s="629">
        <f t="shared" ref="I202:AR202" si="342">SUM(I198:I201)</f>
        <v>29213414</v>
      </c>
      <c r="J202" s="504">
        <f t="shared" si="342"/>
        <v>21671672</v>
      </c>
      <c r="K202" s="504">
        <f t="shared" si="342"/>
        <v>7325025</v>
      </c>
      <c r="L202" s="504">
        <f t="shared" si="342"/>
        <v>216717</v>
      </c>
      <c r="M202" s="504">
        <f t="shared" si="342"/>
        <v>0</v>
      </c>
      <c r="N202" s="885">
        <f t="shared" si="342"/>
        <v>31.163700000000002</v>
      </c>
      <c r="O202" s="629">
        <f t="shared" si="342"/>
        <v>-40000</v>
      </c>
      <c r="P202" s="503">
        <f t="shared" si="342"/>
        <v>2283626</v>
      </c>
      <c r="Q202" s="503">
        <f t="shared" si="342"/>
        <v>63940</v>
      </c>
      <c r="R202" s="503">
        <f t="shared" si="342"/>
        <v>0</v>
      </c>
      <c r="S202" s="503">
        <f t="shared" si="342"/>
        <v>0</v>
      </c>
      <c r="T202" s="503">
        <f t="shared" si="342"/>
        <v>0</v>
      </c>
      <c r="U202" s="503">
        <f t="shared" si="342"/>
        <v>2307566</v>
      </c>
      <c r="V202" s="503">
        <f t="shared" si="342"/>
        <v>40000</v>
      </c>
      <c r="W202" s="503">
        <f t="shared" si="342"/>
        <v>0</v>
      </c>
      <c r="X202" s="503">
        <f t="shared" si="342"/>
        <v>0</v>
      </c>
      <c r="Y202" s="503">
        <f t="shared" si="342"/>
        <v>40000</v>
      </c>
      <c r="Z202" s="503">
        <f t="shared" si="342"/>
        <v>2347566</v>
      </c>
      <c r="AA202" s="503">
        <f t="shared" si="342"/>
        <v>793478</v>
      </c>
      <c r="AB202" s="503">
        <f t="shared" si="342"/>
        <v>23075</v>
      </c>
      <c r="AC202" s="503">
        <f t="shared" si="342"/>
        <v>0</v>
      </c>
      <c r="AD202" s="891">
        <f t="shared" si="342"/>
        <v>3164119</v>
      </c>
      <c r="AE202" s="701">
        <f t="shared" si="342"/>
        <v>-0.05</v>
      </c>
      <c r="AF202" s="701">
        <f t="shared" si="342"/>
        <v>5.44</v>
      </c>
      <c r="AG202" s="502">
        <f t="shared" si="342"/>
        <v>0</v>
      </c>
      <c r="AH202" s="502">
        <f t="shared" si="342"/>
        <v>0.09</v>
      </c>
      <c r="AI202" s="502">
        <f t="shared" si="342"/>
        <v>0</v>
      </c>
      <c r="AJ202" s="502">
        <f t="shared" si="342"/>
        <v>0</v>
      </c>
      <c r="AK202" s="630">
        <f t="shared" si="342"/>
        <v>5.48</v>
      </c>
      <c r="AL202" s="629">
        <f t="shared" si="342"/>
        <v>32377533</v>
      </c>
      <c r="AM202" s="503">
        <f t="shared" si="342"/>
        <v>23979238</v>
      </c>
      <c r="AN202" s="552">
        <f t="shared" si="342"/>
        <v>40000</v>
      </c>
      <c r="AO202" s="503">
        <f t="shared" si="342"/>
        <v>8118503</v>
      </c>
      <c r="AP202" s="503">
        <f t="shared" si="342"/>
        <v>239792</v>
      </c>
      <c r="AQ202" s="503">
        <f t="shared" si="342"/>
        <v>0</v>
      </c>
      <c r="AR202" s="630">
        <f t="shared" si="342"/>
        <v>36.643699999999995</v>
      </c>
    </row>
    <row r="203" spans="1:44" ht="14.1" customHeight="1" x14ac:dyDescent="0.2">
      <c r="A203" s="499">
        <v>51</v>
      </c>
      <c r="B203" s="512">
        <v>2310</v>
      </c>
      <c r="C203" s="513">
        <v>600080412</v>
      </c>
      <c r="D203" s="512">
        <v>72742038</v>
      </c>
      <c r="E203" s="511" t="s">
        <v>618</v>
      </c>
      <c r="F203" s="499">
        <v>3114</v>
      </c>
      <c r="G203" s="117" t="s">
        <v>511</v>
      </c>
      <c r="H203" s="495" t="s">
        <v>262</v>
      </c>
      <c r="I203" s="627">
        <f t="shared" si="245"/>
        <v>26789430</v>
      </c>
      <c r="J203" s="14">
        <v>19873465</v>
      </c>
      <c r="K203" s="14">
        <v>6717231</v>
      </c>
      <c r="L203" s="14">
        <v>198734</v>
      </c>
      <c r="M203" s="14">
        <v>0</v>
      </c>
      <c r="N203" s="121">
        <v>25.090800000000002</v>
      </c>
      <c r="O203" s="696">
        <f t="shared" si="246"/>
        <v>0</v>
      </c>
      <c r="P203" s="492">
        <v>0</v>
      </c>
      <c r="Q203" s="492">
        <v>0</v>
      </c>
      <c r="R203" s="492">
        <v>0</v>
      </c>
      <c r="S203" s="492">
        <v>0</v>
      </c>
      <c r="T203" s="492">
        <v>0</v>
      </c>
      <c r="U203" s="492">
        <f>O203+P203+Q203+R203+S203+T203</f>
        <v>0</v>
      </c>
      <c r="V203" s="492">
        <v>0</v>
      </c>
      <c r="W203" s="492">
        <v>0</v>
      </c>
      <c r="X203" s="492">
        <v>0</v>
      </c>
      <c r="Y203" s="492">
        <f t="shared" ref="Y203:Y206" si="343">V203+W203+X203</f>
        <v>0</v>
      </c>
      <c r="Z203" s="492">
        <f t="shared" ref="Z203:Z206" si="344">U203+Y203</f>
        <v>0</v>
      </c>
      <c r="AA203" s="494">
        <f t="shared" ref="AA203:AA206" si="345">ROUND((U203+Y203)*33.8%,0)</f>
        <v>0</v>
      </c>
      <c r="AB203" s="494">
        <f t="shared" ref="AB203:AB206" si="346">ROUND(U203*1%,0)</f>
        <v>0</v>
      </c>
      <c r="AC203" s="14">
        <v>0</v>
      </c>
      <c r="AD203" s="892">
        <f t="shared" si="250"/>
        <v>0</v>
      </c>
      <c r="AE203" s="702">
        <v>0</v>
      </c>
      <c r="AF203" s="702">
        <v>0</v>
      </c>
      <c r="AG203" s="491">
        <v>0</v>
      </c>
      <c r="AH203" s="491">
        <v>0</v>
      </c>
      <c r="AI203" s="491">
        <v>0</v>
      </c>
      <c r="AJ203" s="491">
        <v>0</v>
      </c>
      <c r="AK203" s="626">
        <f>SUM(AE203:AJ203)</f>
        <v>0</v>
      </c>
      <c r="AL203" s="696">
        <f>I203+AD203</f>
        <v>26789430</v>
      </c>
      <c r="AM203" s="492">
        <f>J203+U203</f>
        <v>19873465</v>
      </c>
      <c r="AN203" s="492">
        <f>Y203</f>
        <v>0</v>
      </c>
      <c r="AO203" s="492">
        <f t="shared" ref="AO203:AQ206" si="347">K203+AA203</f>
        <v>6717231</v>
      </c>
      <c r="AP203" s="492">
        <f t="shared" si="347"/>
        <v>198734</v>
      </c>
      <c r="AQ203" s="578">
        <f t="shared" si="347"/>
        <v>0</v>
      </c>
      <c r="AR203" s="626">
        <f>N203+AK203</f>
        <v>25.090800000000002</v>
      </c>
    </row>
    <row r="204" spans="1:44" ht="14.1" customHeight="1" x14ac:dyDescent="0.2">
      <c r="A204" s="499">
        <v>51</v>
      </c>
      <c r="B204" s="512">
        <v>2310</v>
      </c>
      <c r="C204" s="513">
        <v>600080412</v>
      </c>
      <c r="D204" s="512">
        <v>72742038</v>
      </c>
      <c r="E204" s="511" t="s">
        <v>618</v>
      </c>
      <c r="F204" s="499">
        <v>3114</v>
      </c>
      <c r="G204" s="39" t="s">
        <v>279</v>
      </c>
      <c r="H204" s="495" t="s">
        <v>262</v>
      </c>
      <c r="I204" s="627">
        <f t="shared" si="245"/>
        <v>12893434</v>
      </c>
      <c r="J204" s="14">
        <v>9564862</v>
      </c>
      <c r="K204" s="14">
        <v>3232923</v>
      </c>
      <c r="L204" s="14">
        <v>95649</v>
      </c>
      <c r="M204" s="14">
        <v>0</v>
      </c>
      <c r="N204" s="121">
        <v>22.306100000000001</v>
      </c>
      <c r="O204" s="696">
        <f t="shared" si="246"/>
        <v>0</v>
      </c>
      <c r="P204" s="492">
        <v>0</v>
      </c>
      <c r="Q204" s="492">
        <v>0</v>
      </c>
      <c r="R204" s="492">
        <v>0</v>
      </c>
      <c r="S204" s="492">
        <v>0</v>
      </c>
      <c r="T204" s="492">
        <v>0</v>
      </c>
      <c r="U204" s="492">
        <f>O204+P204+Q204+R204+S204+T204</f>
        <v>0</v>
      </c>
      <c r="V204" s="492">
        <v>0</v>
      </c>
      <c r="W204" s="492">
        <v>0</v>
      </c>
      <c r="X204" s="492">
        <v>0</v>
      </c>
      <c r="Y204" s="492">
        <f t="shared" si="343"/>
        <v>0</v>
      </c>
      <c r="Z204" s="492">
        <f t="shared" si="344"/>
        <v>0</v>
      </c>
      <c r="AA204" s="494">
        <f t="shared" si="345"/>
        <v>0</v>
      </c>
      <c r="AB204" s="494">
        <f t="shared" si="346"/>
        <v>0</v>
      </c>
      <c r="AC204" s="14">
        <v>0</v>
      </c>
      <c r="AD204" s="892">
        <f t="shared" si="250"/>
        <v>0</v>
      </c>
      <c r="AE204" s="702">
        <v>0</v>
      </c>
      <c r="AF204" s="702">
        <v>0</v>
      </c>
      <c r="AG204" s="491">
        <v>0</v>
      </c>
      <c r="AH204" s="491">
        <v>0</v>
      </c>
      <c r="AI204" s="491">
        <v>0</v>
      </c>
      <c r="AJ204" s="491">
        <v>0</v>
      </c>
      <c r="AK204" s="626">
        <f>SUM(AE204:AJ204)</f>
        <v>0</v>
      </c>
      <c r="AL204" s="696">
        <f>I204+AD204</f>
        <v>12893434</v>
      </c>
      <c r="AM204" s="492">
        <f>J204+U204</f>
        <v>9564862</v>
      </c>
      <c r="AN204" s="492">
        <f>Y204</f>
        <v>0</v>
      </c>
      <c r="AO204" s="492">
        <f t="shared" si="347"/>
        <v>3232923</v>
      </c>
      <c r="AP204" s="492">
        <f t="shared" si="347"/>
        <v>95649</v>
      </c>
      <c r="AQ204" s="578">
        <f t="shared" si="347"/>
        <v>0</v>
      </c>
      <c r="AR204" s="626">
        <f>N204+AK204</f>
        <v>22.306100000000001</v>
      </c>
    </row>
    <row r="205" spans="1:44" ht="14.1" customHeight="1" x14ac:dyDescent="0.2">
      <c r="A205" s="499">
        <v>51</v>
      </c>
      <c r="B205" s="512">
        <v>2310</v>
      </c>
      <c r="C205" s="513">
        <v>600080412</v>
      </c>
      <c r="D205" s="512">
        <v>72742038</v>
      </c>
      <c r="E205" s="511" t="s">
        <v>618</v>
      </c>
      <c r="F205" s="499">
        <v>3114</v>
      </c>
      <c r="G205" s="514" t="s">
        <v>278</v>
      </c>
      <c r="H205" s="495" t="s">
        <v>263</v>
      </c>
      <c r="I205" s="627">
        <f t="shared" ref="I205:I268" si="348">SUM(J205:M205)</f>
        <v>0</v>
      </c>
      <c r="J205" s="490">
        <v>0</v>
      </c>
      <c r="K205" s="14">
        <v>0</v>
      </c>
      <c r="L205" s="14">
        <v>0</v>
      </c>
      <c r="M205" s="14">
        <v>0</v>
      </c>
      <c r="N205" s="682">
        <v>0</v>
      </c>
      <c r="O205" s="696">
        <f t="shared" ref="O205:O268" si="349">V205*-1</f>
        <v>0</v>
      </c>
      <c r="P205" s="492">
        <v>0</v>
      </c>
      <c r="Q205" s="492">
        <v>0</v>
      </c>
      <c r="R205" s="492">
        <v>0</v>
      </c>
      <c r="S205" s="492">
        <v>0</v>
      </c>
      <c r="T205" s="492">
        <v>0</v>
      </c>
      <c r="U205" s="492">
        <f>O205+P205+Q205+R205+S205+T205</f>
        <v>0</v>
      </c>
      <c r="V205" s="492">
        <v>0</v>
      </c>
      <c r="W205" s="492">
        <v>0</v>
      </c>
      <c r="X205" s="492">
        <v>0</v>
      </c>
      <c r="Y205" s="492">
        <f t="shared" si="343"/>
        <v>0</v>
      </c>
      <c r="Z205" s="492">
        <f t="shared" si="344"/>
        <v>0</v>
      </c>
      <c r="AA205" s="494">
        <f t="shared" si="345"/>
        <v>0</v>
      </c>
      <c r="AB205" s="494">
        <f t="shared" si="346"/>
        <v>0</v>
      </c>
      <c r="AC205" s="14">
        <v>0</v>
      </c>
      <c r="AD205" s="892">
        <f t="shared" ref="AD205:AD268" si="350">Z205+AA205+AB205+AC205</f>
        <v>0</v>
      </c>
      <c r="AE205" s="702">
        <v>0</v>
      </c>
      <c r="AF205" s="702">
        <v>0</v>
      </c>
      <c r="AG205" s="491">
        <v>0</v>
      </c>
      <c r="AH205" s="491">
        <v>0</v>
      </c>
      <c r="AI205" s="491">
        <v>0</v>
      </c>
      <c r="AJ205" s="491">
        <v>0</v>
      </c>
      <c r="AK205" s="626">
        <f>SUM(AE205:AJ205)</f>
        <v>0</v>
      </c>
      <c r="AL205" s="696">
        <f>I205+AD205</f>
        <v>0</v>
      </c>
      <c r="AM205" s="492">
        <f>J205+U205</f>
        <v>0</v>
      </c>
      <c r="AN205" s="492">
        <f>Y205</f>
        <v>0</v>
      </c>
      <c r="AO205" s="492">
        <f t="shared" si="347"/>
        <v>0</v>
      </c>
      <c r="AP205" s="492">
        <f t="shared" si="347"/>
        <v>0</v>
      </c>
      <c r="AQ205" s="578">
        <f t="shared" si="347"/>
        <v>0</v>
      </c>
      <c r="AR205" s="626">
        <f>N205+AK205</f>
        <v>0</v>
      </c>
    </row>
    <row r="206" spans="1:44" ht="14.1" customHeight="1" x14ac:dyDescent="0.2">
      <c r="A206" s="499">
        <v>51</v>
      </c>
      <c r="B206" s="512">
        <v>2310</v>
      </c>
      <c r="C206" s="513">
        <v>600080412</v>
      </c>
      <c r="D206" s="512">
        <v>72742038</v>
      </c>
      <c r="E206" s="511" t="s">
        <v>618</v>
      </c>
      <c r="F206" s="499">
        <v>3143</v>
      </c>
      <c r="G206" s="514" t="s">
        <v>794</v>
      </c>
      <c r="H206" s="495" t="s">
        <v>262</v>
      </c>
      <c r="I206" s="627">
        <f t="shared" si="348"/>
        <v>2434990</v>
      </c>
      <c r="J206" s="14">
        <v>1806372</v>
      </c>
      <c r="K206" s="14">
        <v>610554</v>
      </c>
      <c r="L206" s="14">
        <v>18064</v>
      </c>
      <c r="M206" s="14">
        <v>0</v>
      </c>
      <c r="N206" s="121">
        <v>3.5</v>
      </c>
      <c r="O206" s="696">
        <f t="shared" si="349"/>
        <v>0</v>
      </c>
      <c r="P206" s="492">
        <v>0</v>
      </c>
      <c r="Q206" s="492">
        <v>0</v>
      </c>
      <c r="R206" s="492">
        <v>0</v>
      </c>
      <c r="S206" s="492">
        <v>0</v>
      </c>
      <c r="T206" s="492">
        <v>0</v>
      </c>
      <c r="U206" s="492">
        <f>O206+P206+Q206+R206+S206+T206</f>
        <v>0</v>
      </c>
      <c r="V206" s="492">
        <v>0</v>
      </c>
      <c r="W206" s="492">
        <v>0</v>
      </c>
      <c r="X206" s="492">
        <v>0</v>
      </c>
      <c r="Y206" s="492">
        <f t="shared" si="343"/>
        <v>0</v>
      </c>
      <c r="Z206" s="492">
        <f t="shared" si="344"/>
        <v>0</v>
      </c>
      <c r="AA206" s="494">
        <f t="shared" si="345"/>
        <v>0</v>
      </c>
      <c r="AB206" s="494">
        <f t="shared" si="346"/>
        <v>0</v>
      </c>
      <c r="AC206" s="14">
        <v>0</v>
      </c>
      <c r="AD206" s="892">
        <f t="shared" si="350"/>
        <v>0</v>
      </c>
      <c r="AE206" s="702">
        <v>0</v>
      </c>
      <c r="AF206" s="702">
        <v>0</v>
      </c>
      <c r="AG206" s="491">
        <v>0</v>
      </c>
      <c r="AH206" s="491">
        <v>0</v>
      </c>
      <c r="AI206" s="491">
        <v>0</v>
      </c>
      <c r="AJ206" s="491">
        <v>0</v>
      </c>
      <c r="AK206" s="626">
        <f>SUM(AE206:AJ206)</f>
        <v>0</v>
      </c>
      <c r="AL206" s="696">
        <f>I206+AD206</f>
        <v>2434990</v>
      </c>
      <c r="AM206" s="492">
        <f>J206+U206</f>
        <v>1806372</v>
      </c>
      <c r="AN206" s="492">
        <f>Y206</f>
        <v>0</v>
      </c>
      <c r="AO206" s="492">
        <f t="shared" si="347"/>
        <v>610554</v>
      </c>
      <c r="AP206" s="492">
        <f t="shared" si="347"/>
        <v>18064</v>
      </c>
      <c r="AQ206" s="578">
        <f t="shared" si="347"/>
        <v>0</v>
      </c>
      <c r="AR206" s="626">
        <f>N206+AK206</f>
        <v>3.5</v>
      </c>
    </row>
    <row r="207" spans="1:44" ht="14.1" customHeight="1" x14ac:dyDescent="0.2">
      <c r="A207" s="510">
        <v>51</v>
      </c>
      <c r="B207" s="508">
        <v>2310</v>
      </c>
      <c r="C207" s="509">
        <v>600080412</v>
      </c>
      <c r="D207" s="508">
        <v>72742038</v>
      </c>
      <c r="E207" s="506" t="s">
        <v>619</v>
      </c>
      <c r="F207" s="510"/>
      <c r="G207" s="506"/>
      <c r="H207" s="505"/>
      <c r="I207" s="629">
        <f t="shared" ref="I207:AR207" si="351">SUM(I203:I206)</f>
        <v>42117854</v>
      </c>
      <c r="J207" s="504">
        <f t="shared" si="351"/>
        <v>31244699</v>
      </c>
      <c r="K207" s="504">
        <f t="shared" si="351"/>
        <v>10560708</v>
      </c>
      <c r="L207" s="504">
        <f t="shared" si="351"/>
        <v>312447</v>
      </c>
      <c r="M207" s="504">
        <f t="shared" si="351"/>
        <v>0</v>
      </c>
      <c r="N207" s="885">
        <f t="shared" si="351"/>
        <v>50.896900000000002</v>
      </c>
      <c r="O207" s="629">
        <f t="shared" si="351"/>
        <v>0</v>
      </c>
      <c r="P207" s="503">
        <f t="shared" si="351"/>
        <v>0</v>
      </c>
      <c r="Q207" s="503">
        <f t="shared" si="351"/>
        <v>0</v>
      </c>
      <c r="R207" s="503">
        <f t="shared" si="351"/>
        <v>0</v>
      </c>
      <c r="S207" s="503">
        <f t="shared" si="351"/>
        <v>0</v>
      </c>
      <c r="T207" s="503">
        <f t="shared" si="351"/>
        <v>0</v>
      </c>
      <c r="U207" s="503">
        <f t="shared" si="351"/>
        <v>0</v>
      </c>
      <c r="V207" s="503">
        <f t="shared" si="351"/>
        <v>0</v>
      </c>
      <c r="W207" s="503">
        <f t="shared" si="351"/>
        <v>0</v>
      </c>
      <c r="X207" s="503">
        <f t="shared" si="351"/>
        <v>0</v>
      </c>
      <c r="Y207" s="503">
        <f t="shared" si="351"/>
        <v>0</v>
      </c>
      <c r="Z207" s="503">
        <f t="shared" si="351"/>
        <v>0</v>
      </c>
      <c r="AA207" s="503">
        <f t="shared" si="351"/>
        <v>0</v>
      </c>
      <c r="AB207" s="503">
        <f t="shared" si="351"/>
        <v>0</v>
      </c>
      <c r="AC207" s="503">
        <f t="shared" si="351"/>
        <v>0</v>
      </c>
      <c r="AD207" s="891">
        <f t="shared" si="351"/>
        <v>0</v>
      </c>
      <c r="AE207" s="701">
        <f t="shared" si="351"/>
        <v>0</v>
      </c>
      <c r="AF207" s="701">
        <f t="shared" si="351"/>
        <v>0</v>
      </c>
      <c r="AG207" s="502">
        <f t="shared" si="351"/>
        <v>0</v>
      </c>
      <c r="AH207" s="502">
        <f t="shared" si="351"/>
        <v>0</v>
      </c>
      <c r="AI207" s="502">
        <f t="shared" si="351"/>
        <v>0</v>
      </c>
      <c r="AJ207" s="502">
        <f t="shared" si="351"/>
        <v>0</v>
      </c>
      <c r="AK207" s="630">
        <f t="shared" si="351"/>
        <v>0</v>
      </c>
      <c r="AL207" s="629">
        <f t="shared" si="351"/>
        <v>42117854</v>
      </c>
      <c r="AM207" s="503">
        <f t="shared" si="351"/>
        <v>31244699</v>
      </c>
      <c r="AN207" s="552">
        <f t="shared" si="351"/>
        <v>0</v>
      </c>
      <c r="AO207" s="503">
        <f t="shared" si="351"/>
        <v>10560708</v>
      </c>
      <c r="AP207" s="503">
        <f t="shared" si="351"/>
        <v>312447</v>
      </c>
      <c r="AQ207" s="503">
        <f t="shared" si="351"/>
        <v>0</v>
      </c>
      <c r="AR207" s="630">
        <f t="shared" si="351"/>
        <v>50.896900000000002</v>
      </c>
    </row>
    <row r="208" spans="1:44" ht="14.1" customHeight="1" x14ac:dyDescent="0.2">
      <c r="A208" s="499">
        <v>52</v>
      </c>
      <c r="B208" s="512">
        <v>2313</v>
      </c>
      <c r="C208" s="513">
        <v>600080323</v>
      </c>
      <c r="D208" s="512">
        <v>64040445</v>
      </c>
      <c r="E208" s="511" t="s">
        <v>620</v>
      </c>
      <c r="F208" s="499">
        <v>3231</v>
      </c>
      <c r="G208" s="511" t="s">
        <v>281</v>
      </c>
      <c r="H208" s="495" t="s">
        <v>262</v>
      </c>
      <c r="I208" s="627">
        <f t="shared" si="348"/>
        <v>62302737</v>
      </c>
      <c r="J208" s="14">
        <v>46218648</v>
      </c>
      <c r="K208" s="14">
        <v>15621903</v>
      </c>
      <c r="L208" s="14">
        <v>462186</v>
      </c>
      <c r="M208" s="14">
        <v>0</v>
      </c>
      <c r="N208" s="682">
        <v>69.298699999999997</v>
      </c>
      <c r="O208" s="696">
        <f t="shared" si="349"/>
        <v>-20000</v>
      </c>
      <c r="P208" s="492">
        <v>0</v>
      </c>
      <c r="Q208" s="492">
        <v>0</v>
      </c>
      <c r="R208" s="492">
        <v>0</v>
      </c>
      <c r="S208" s="492">
        <v>0</v>
      </c>
      <c r="T208" s="492">
        <v>0</v>
      </c>
      <c r="U208" s="492">
        <f>O208+P208+Q208+R208+S208+T208</f>
        <v>-20000</v>
      </c>
      <c r="V208" s="492">
        <v>20000</v>
      </c>
      <c r="W208" s="492">
        <v>0</v>
      </c>
      <c r="X208" s="492">
        <v>0</v>
      </c>
      <c r="Y208" s="492">
        <f>V208+W208+X208</f>
        <v>20000</v>
      </c>
      <c r="Z208" s="492">
        <f>U208+Y208</f>
        <v>0</v>
      </c>
      <c r="AA208" s="494">
        <f>ROUND((U208+Y208)*33.8%,0)</f>
        <v>0</v>
      </c>
      <c r="AB208" s="494">
        <f>ROUND(U208*1%,0)</f>
        <v>-200</v>
      </c>
      <c r="AC208" s="14">
        <v>0</v>
      </c>
      <c r="AD208" s="892">
        <f t="shared" si="350"/>
        <v>-200</v>
      </c>
      <c r="AE208" s="702">
        <v>-0.03</v>
      </c>
      <c r="AF208" s="702">
        <v>0</v>
      </c>
      <c r="AG208" s="491">
        <v>0</v>
      </c>
      <c r="AH208" s="491">
        <v>0</v>
      </c>
      <c r="AI208" s="491">
        <v>0</v>
      </c>
      <c r="AJ208" s="491">
        <v>0</v>
      </c>
      <c r="AK208" s="626">
        <f>SUM(AE208:AJ208)</f>
        <v>-0.03</v>
      </c>
      <c r="AL208" s="696">
        <f>I208+AD208</f>
        <v>62302537</v>
      </c>
      <c r="AM208" s="492">
        <f>J208+U208</f>
        <v>46198648</v>
      </c>
      <c r="AN208" s="492">
        <f>Y208</f>
        <v>20000</v>
      </c>
      <c r="AO208" s="492">
        <f>K208+AA208</f>
        <v>15621903</v>
      </c>
      <c r="AP208" s="492">
        <f>L208+AB208</f>
        <v>461986</v>
      </c>
      <c r="AQ208" s="578">
        <f>M208+AC208</f>
        <v>0</v>
      </c>
      <c r="AR208" s="626">
        <f>N208+AK208</f>
        <v>69.268699999999995</v>
      </c>
    </row>
    <row r="209" spans="1:44" ht="14.1" customHeight="1" x14ac:dyDescent="0.2">
      <c r="A209" s="510">
        <v>52</v>
      </c>
      <c r="B209" s="508">
        <v>2313</v>
      </c>
      <c r="C209" s="509">
        <v>600080323</v>
      </c>
      <c r="D209" s="508">
        <v>64040445</v>
      </c>
      <c r="E209" s="506" t="s">
        <v>621</v>
      </c>
      <c r="F209" s="510"/>
      <c r="G209" s="506"/>
      <c r="H209" s="505"/>
      <c r="I209" s="632">
        <f t="shared" ref="I209:N209" si="352">SUM(I208)</f>
        <v>62302737</v>
      </c>
      <c r="J209" s="520">
        <f t="shared" si="352"/>
        <v>46218648</v>
      </c>
      <c r="K209" s="520">
        <f t="shared" si="352"/>
        <v>15621903</v>
      </c>
      <c r="L209" s="520">
        <f t="shared" si="352"/>
        <v>462186</v>
      </c>
      <c r="M209" s="520">
        <f t="shared" si="352"/>
        <v>0</v>
      </c>
      <c r="N209" s="886">
        <f t="shared" si="352"/>
        <v>69.298699999999997</v>
      </c>
      <c r="O209" s="632">
        <f t="shared" ref="O209:AN209" si="353">SUM(O208)</f>
        <v>-20000</v>
      </c>
      <c r="P209" s="519">
        <f t="shared" si="353"/>
        <v>0</v>
      </c>
      <c r="Q209" s="519">
        <f t="shared" si="353"/>
        <v>0</v>
      </c>
      <c r="R209" s="519">
        <f t="shared" si="353"/>
        <v>0</v>
      </c>
      <c r="S209" s="519">
        <f t="shared" si="353"/>
        <v>0</v>
      </c>
      <c r="T209" s="519">
        <f t="shared" si="353"/>
        <v>0</v>
      </c>
      <c r="U209" s="519">
        <f t="shared" si="353"/>
        <v>-20000</v>
      </c>
      <c r="V209" s="519">
        <f t="shared" si="353"/>
        <v>20000</v>
      </c>
      <c r="W209" s="519">
        <f t="shared" si="353"/>
        <v>0</v>
      </c>
      <c r="X209" s="519">
        <f t="shared" si="353"/>
        <v>0</v>
      </c>
      <c r="Y209" s="519">
        <f t="shared" si="353"/>
        <v>20000</v>
      </c>
      <c r="Z209" s="519">
        <f t="shared" si="353"/>
        <v>0</v>
      </c>
      <c r="AA209" s="519">
        <f t="shared" si="353"/>
        <v>0</v>
      </c>
      <c r="AB209" s="519">
        <f t="shared" si="353"/>
        <v>-200</v>
      </c>
      <c r="AC209" s="519">
        <f t="shared" si="353"/>
        <v>0</v>
      </c>
      <c r="AD209" s="893">
        <f t="shared" si="353"/>
        <v>-200</v>
      </c>
      <c r="AE209" s="704">
        <f t="shared" si="353"/>
        <v>-0.03</v>
      </c>
      <c r="AF209" s="704">
        <f t="shared" si="353"/>
        <v>0</v>
      </c>
      <c r="AG209" s="518">
        <f t="shared" si="353"/>
        <v>0</v>
      </c>
      <c r="AH209" s="518">
        <f t="shared" si="353"/>
        <v>0</v>
      </c>
      <c r="AI209" s="518">
        <f t="shared" si="353"/>
        <v>0</v>
      </c>
      <c r="AJ209" s="518">
        <f t="shared" si="353"/>
        <v>0</v>
      </c>
      <c r="AK209" s="633">
        <f t="shared" si="353"/>
        <v>-0.03</v>
      </c>
      <c r="AL209" s="632">
        <f t="shared" si="353"/>
        <v>62302537</v>
      </c>
      <c r="AM209" s="519">
        <f t="shared" si="353"/>
        <v>46198648</v>
      </c>
      <c r="AN209" s="553">
        <f t="shared" si="353"/>
        <v>20000</v>
      </c>
      <c r="AO209" s="519">
        <f t="shared" ref="AO209:AR209" si="354">SUM(AO208)</f>
        <v>15621903</v>
      </c>
      <c r="AP209" s="519">
        <f t="shared" si="354"/>
        <v>461986</v>
      </c>
      <c r="AQ209" s="519">
        <f t="shared" si="354"/>
        <v>0</v>
      </c>
      <c r="AR209" s="633">
        <f t="shared" si="354"/>
        <v>69.268699999999995</v>
      </c>
    </row>
    <row r="210" spans="1:44" ht="14.1" customHeight="1" x14ac:dyDescent="0.2">
      <c r="A210" s="499">
        <v>53</v>
      </c>
      <c r="B210" s="512">
        <v>2431</v>
      </c>
      <c r="C210" s="513">
        <v>600079228</v>
      </c>
      <c r="D210" s="512">
        <v>46746234</v>
      </c>
      <c r="E210" s="511" t="s">
        <v>622</v>
      </c>
      <c r="F210" s="499">
        <v>3111</v>
      </c>
      <c r="G210" s="511" t="s">
        <v>277</v>
      </c>
      <c r="H210" s="495" t="s">
        <v>262</v>
      </c>
      <c r="I210" s="627">
        <f t="shared" si="348"/>
        <v>7471673</v>
      </c>
      <c r="J210" s="14">
        <v>5542784</v>
      </c>
      <c r="K210" s="14">
        <v>1873461</v>
      </c>
      <c r="L210" s="14">
        <v>55428</v>
      </c>
      <c r="M210" s="14">
        <v>0</v>
      </c>
      <c r="N210" s="121">
        <v>8.4515999999999991</v>
      </c>
      <c r="O210" s="696">
        <f t="shared" si="349"/>
        <v>0</v>
      </c>
      <c r="P210" s="492">
        <v>0</v>
      </c>
      <c r="Q210" s="492">
        <v>0</v>
      </c>
      <c r="R210" s="492">
        <v>0</v>
      </c>
      <c r="S210" s="492">
        <v>0</v>
      </c>
      <c r="T210" s="492">
        <v>0</v>
      </c>
      <c r="U210" s="492">
        <f>O210+P210+Q210+R210+S210+T210</f>
        <v>0</v>
      </c>
      <c r="V210" s="492">
        <v>0</v>
      </c>
      <c r="W210" s="492">
        <v>0</v>
      </c>
      <c r="X210" s="492">
        <v>0</v>
      </c>
      <c r="Y210" s="492">
        <f t="shared" ref="Y210:Y211" si="355">V210+W210+X210</f>
        <v>0</v>
      </c>
      <c r="Z210" s="492">
        <f t="shared" ref="Z210:Z211" si="356">U210+Y210</f>
        <v>0</v>
      </c>
      <c r="AA210" s="494">
        <f t="shared" ref="AA210:AA211" si="357">ROUND((U210+Y210)*33.8%,0)</f>
        <v>0</v>
      </c>
      <c r="AB210" s="494">
        <f>ROUND(U210*1%,0)</f>
        <v>0</v>
      </c>
      <c r="AC210" s="14">
        <v>0</v>
      </c>
      <c r="AD210" s="892">
        <f t="shared" si="350"/>
        <v>0</v>
      </c>
      <c r="AE210" s="702">
        <v>0</v>
      </c>
      <c r="AF210" s="702">
        <v>0</v>
      </c>
      <c r="AG210" s="491">
        <v>0</v>
      </c>
      <c r="AH210" s="491">
        <v>0</v>
      </c>
      <c r="AI210" s="491">
        <v>0</v>
      </c>
      <c r="AJ210" s="491">
        <v>0</v>
      </c>
      <c r="AK210" s="626">
        <f>SUM(AE210:AJ210)</f>
        <v>0</v>
      </c>
      <c r="AL210" s="696">
        <f>I210+AD210</f>
        <v>7471673</v>
      </c>
      <c r="AM210" s="492">
        <f>J210+U210</f>
        <v>5542784</v>
      </c>
      <c r="AN210" s="492">
        <f>Y210</f>
        <v>0</v>
      </c>
      <c r="AO210" s="492">
        <f t="shared" ref="AO210:AQ211" si="358">K210+AA210</f>
        <v>1873461</v>
      </c>
      <c r="AP210" s="492">
        <f t="shared" si="358"/>
        <v>55428</v>
      </c>
      <c r="AQ210" s="578">
        <f t="shared" si="358"/>
        <v>0</v>
      </c>
      <c r="AR210" s="626">
        <f>N210+AK210</f>
        <v>8.4515999999999991</v>
      </c>
    </row>
    <row r="211" spans="1:44" ht="14.1" customHeight="1" x14ac:dyDescent="0.2">
      <c r="A211" s="499">
        <v>53</v>
      </c>
      <c r="B211" s="512">
        <v>2431</v>
      </c>
      <c r="C211" s="513">
        <v>600079228</v>
      </c>
      <c r="D211" s="512">
        <v>46746234</v>
      </c>
      <c r="E211" s="511" t="s">
        <v>622</v>
      </c>
      <c r="F211" s="499">
        <v>3111</v>
      </c>
      <c r="G211" s="514" t="s">
        <v>278</v>
      </c>
      <c r="H211" s="495" t="s">
        <v>263</v>
      </c>
      <c r="I211" s="627">
        <f t="shared" si="348"/>
        <v>0</v>
      </c>
      <c r="J211" s="490">
        <v>0</v>
      </c>
      <c r="K211" s="14">
        <v>0</v>
      </c>
      <c r="L211" s="14">
        <v>0</v>
      </c>
      <c r="M211" s="14">
        <v>0</v>
      </c>
      <c r="N211" s="682">
        <v>0</v>
      </c>
      <c r="O211" s="696">
        <f t="shared" si="349"/>
        <v>0</v>
      </c>
      <c r="P211" s="490">
        <v>352758</v>
      </c>
      <c r="Q211" s="492">
        <v>0</v>
      </c>
      <c r="R211" s="492">
        <v>0</v>
      </c>
      <c r="S211" s="492">
        <v>0</v>
      </c>
      <c r="T211" s="492">
        <v>0</v>
      </c>
      <c r="U211" s="492">
        <f>O211+P211+Q211+R211+S211+T211</f>
        <v>352758</v>
      </c>
      <c r="V211" s="492">
        <v>0</v>
      </c>
      <c r="W211" s="492">
        <v>0</v>
      </c>
      <c r="X211" s="492">
        <v>0</v>
      </c>
      <c r="Y211" s="492">
        <f t="shared" si="355"/>
        <v>0</v>
      </c>
      <c r="Z211" s="492">
        <f t="shared" si="356"/>
        <v>352758</v>
      </c>
      <c r="AA211" s="494">
        <f t="shared" si="357"/>
        <v>119232</v>
      </c>
      <c r="AB211" s="494">
        <f>ROUND(U211*1%,0)</f>
        <v>3528</v>
      </c>
      <c r="AC211" s="14">
        <v>0</v>
      </c>
      <c r="AD211" s="892">
        <f t="shared" si="350"/>
        <v>475518</v>
      </c>
      <c r="AE211" s="702">
        <v>0</v>
      </c>
      <c r="AF211" s="121">
        <v>0.89</v>
      </c>
      <c r="AG211" s="491">
        <v>0</v>
      </c>
      <c r="AH211" s="491">
        <v>0</v>
      </c>
      <c r="AI211" s="491">
        <v>0</v>
      </c>
      <c r="AJ211" s="491">
        <v>0</v>
      </c>
      <c r="AK211" s="626">
        <f>SUM(AE211:AJ211)</f>
        <v>0.89</v>
      </c>
      <c r="AL211" s="696">
        <f>I211+AD211</f>
        <v>475518</v>
      </c>
      <c r="AM211" s="492">
        <f>J211+U211</f>
        <v>352758</v>
      </c>
      <c r="AN211" s="492">
        <f>Y211</f>
        <v>0</v>
      </c>
      <c r="AO211" s="492">
        <f t="shared" si="358"/>
        <v>119232</v>
      </c>
      <c r="AP211" s="492">
        <f t="shared" si="358"/>
        <v>3528</v>
      </c>
      <c r="AQ211" s="578">
        <f t="shared" si="358"/>
        <v>0</v>
      </c>
      <c r="AR211" s="626">
        <f>N211+AK211</f>
        <v>0.89</v>
      </c>
    </row>
    <row r="212" spans="1:44" ht="14.1" customHeight="1" x14ac:dyDescent="0.2">
      <c r="A212" s="510">
        <v>53</v>
      </c>
      <c r="B212" s="508">
        <v>2431</v>
      </c>
      <c r="C212" s="509">
        <v>600079228</v>
      </c>
      <c r="D212" s="508">
        <v>46746234</v>
      </c>
      <c r="E212" s="506" t="s">
        <v>623</v>
      </c>
      <c r="F212" s="510"/>
      <c r="G212" s="506"/>
      <c r="H212" s="505"/>
      <c r="I212" s="629">
        <f t="shared" ref="I212:N212" si="359">SUM(I210:I211)</f>
        <v>7471673</v>
      </c>
      <c r="J212" s="504">
        <f t="shared" si="359"/>
        <v>5542784</v>
      </c>
      <c r="K212" s="504">
        <f t="shared" si="359"/>
        <v>1873461</v>
      </c>
      <c r="L212" s="504">
        <f t="shared" si="359"/>
        <v>55428</v>
      </c>
      <c r="M212" s="504">
        <f t="shared" si="359"/>
        <v>0</v>
      </c>
      <c r="N212" s="885">
        <f t="shared" si="359"/>
        <v>8.4515999999999991</v>
      </c>
      <c r="O212" s="629">
        <f t="shared" ref="O212:AR212" si="360">SUM(O210:O211)</f>
        <v>0</v>
      </c>
      <c r="P212" s="503">
        <f t="shared" si="360"/>
        <v>352758</v>
      </c>
      <c r="Q212" s="503">
        <f t="shared" si="360"/>
        <v>0</v>
      </c>
      <c r="R212" s="503">
        <f t="shared" si="360"/>
        <v>0</v>
      </c>
      <c r="S212" s="503">
        <f t="shared" si="360"/>
        <v>0</v>
      </c>
      <c r="T212" s="503">
        <f t="shared" si="360"/>
        <v>0</v>
      </c>
      <c r="U212" s="503">
        <f t="shared" si="360"/>
        <v>352758</v>
      </c>
      <c r="V212" s="503">
        <f t="shared" si="360"/>
        <v>0</v>
      </c>
      <c r="W212" s="503">
        <f t="shared" si="360"/>
        <v>0</v>
      </c>
      <c r="X212" s="503">
        <f t="shared" si="360"/>
        <v>0</v>
      </c>
      <c r="Y212" s="503">
        <f t="shared" si="360"/>
        <v>0</v>
      </c>
      <c r="Z212" s="503">
        <f t="shared" si="360"/>
        <v>352758</v>
      </c>
      <c r="AA212" s="503">
        <f t="shared" si="360"/>
        <v>119232</v>
      </c>
      <c r="AB212" s="503">
        <f t="shared" si="360"/>
        <v>3528</v>
      </c>
      <c r="AC212" s="503">
        <f t="shared" si="360"/>
        <v>0</v>
      </c>
      <c r="AD212" s="891">
        <f t="shared" si="360"/>
        <v>475518</v>
      </c>
      <c r="AE212" s="701">
        <f t="shared" si="360"/>
        <v>0</v>
      </c>
      <c r="AF212" s="701">
        <f t="shared" si="360"/>
        <v>0.89</v>
      </c>
      <c r="AG212" s="502">
        <f t="shared" si="360"/>
        <v>0</v>
      </c>
      <c r="AH212" s="502">
        <f t="shared" si="360"/>
        <v>0</v>
      </c>
      <c r="AI212" s="502">
        <f t="shared" si="360"/>
        <v>0</v>
      </c>
      <c r="AJ212" s="502">
        <f t="shared" si="360"/>
        <v>0</v>
      </c>
      <c r="AK212" s="630">
        <f t="shared" si="360"/>
        <v>0.89</v>
      </c>
      <c r="AL212" s="629">
        <f t="shared" si="360"/>
        <v>7947191</v>
      </c>
      <c r="AM212" s="503">
        <f t="shared" si="360"/>
        <v>5895542</v>
      </c>
      <c r="AN212" s="552">
        <f t="shared" si="360"/>
        <v>0</v>
      </c>
      <c r="AO212" s="503">
        <f t="shared" si="360"/>
        <v>1992693</v>
      </c>
      <c r="AP212" s="503">
        <f t="shared" si="360"/>
        <v>58956</v>
      </c>
      <c r="AQ212" s="503">
        <f t="shared" si="360"/>
        <v>0</v>
      </c>
      <c r="AR212" s="630">
        <f t="shared" si="360"/>
        <v>9.3415999999999997</v>
      </c>
    </row>
    <row r="213" spans="1:44" ht="11.25" customHeight="1" x14ac:dyDescent="0.2">
      <c r="A213" s="499">
        <v>54</v>
      </c>
      <c r="B213" s="512">
        <v>2434</v>
      </c>
      <c r="C213" s="513">
        <v>600079317</v>
      </c>
      <c r="D213" s="512">
        <v>46746480</v>
      </c>
      <c r="E213" s="511" t="s">
        <v>624</v>
      </c>
      <c r="F213" s="499">
        <v>3111</v>
      </c>
      <c r="G213" s="511" t="s">
        <v>277</v>
      </c>
      <c r="H213" s="495" t="s">
        <v>262</v>
      </c>
      <c r="I213" s="627">
        <f t="shared" si="348"/>
        <v>13481934</v>
      </c>
      <c r="J213" s="14">
        <v>10001435</v>
      </c>
      <c r="K213" s="14">
        <v>3380485</v>
      </c>
      <c r="L213" s="14">
        <v>100014</v>
      </c>
      <c r="M213" s="14">
        <v>0</v>
      </c>
      <c r="N213" s="121">
        <v>16</v>
      </c>
      <c r="O213" s="696">
        <f t="shared" si="349"/>
        <v>0</v>
      </c>
      <c r="P213" s="492">
        <v>0</v>
      </c>
      <c r="Q213" s="492">
        <v>0</v>
      </c>
      <c r="R213" s="492">
        <v>0</v>
      </c>
      <c r="S213" s="492">
        <v>0</v>
      </c>
      <c r="T213" s="492">
        <v>0</v>
      </c>
      <c r="U213" s="492">
        <f>O213+P213+Q213+R213+S213+T213</f>
        <v>0</v>
      </c>
      <c r="V213" s="492">
        <v>0</v>
      </c>
      <c r="W213" s="492">
        <v>0</v>
      </c>
      <c r="X213" s="492">
        <v>0</v>
      </c>
      <c r="Y213" s="492">
        <f t="shared" ref="Y213:Y214" si="361">V213+W213+X213</f>
        <v>0</v>
      </c>
      <c r="Z213" s="492">
        <f t="shared" ref="Z213:Z214" si="362">U213+Y213</f>
        <v>0</v>
      </c>
      <c r="AA213" s="494">
        <f t="shared" ref="AA213:AA214" si="363">ROUND((U213+Y213)*33.8%,0)</f>
        <v>0</v>
      </c>
      <c r="AB213" s="494">
        <f>ROUND(U213*1%,0)</f>
        <v>0</v>
      </c>
      <c r="AC213" s="14">
        <v>0</v>
      </c>
      <c r="AD213" s="892">
        <f t="shared" si="350"/>
        <v>0</v>
      </c>
      <c r="AE213" s="702">
        <v>0</v>
      </c>
      <c r="AF213" s="702">
        <v>0</v>
      </c>
      <c r="AG213" s="491">
        <v>0</v>
      </c>
      <c r="AH213" s="491">
        <v>0</v>
      </c>
      <c r="AI213" s="491">
        <v>0</v>
      </c>
      <c r="AJ213" s="491">
        <v>0</v>
      </c>
      <c r="AK213" s="626">
        <f>SUM(AE213:AJ213)</f>
        <v>0</v>
      </c>
      <c r="AL213" s="696">
        <f>I213+AD213</f>
        <v>13481934</v>
      </c>
      <c r="AM213" s="492">
        <f>J213+U213</f>
        <v>10001435</v>
      </c>
      <c r="AN213" s="492">
        <f>Y213</f>
        <v>0</v>
      </c>
      <c r="AO213" s="492">
        <f t="shared" ref="AO213:AQ214" si="364">K213+AA213</f>
        <v>3380485</v>
      </c>
      <c r="AP213" s="492">
        <f t="shared" si="364"/>
        <v>100014</v>
      </c>
      <c r="AQ213" s="578">
        <f t="shared" si="364"/>
        <v>0</v>
      </c>
      <c r="AR213" s="626">
        <f>N213+AK213</f>
        <v>16</v>
      </c>
    </row>
    <row r="214" spans="1:44" ht="14.1" customHeight="1" x14ac:dyDescent="0.2">
      <c r="A214" s="499">
        <v>54</v>
      </c>
      <c r="B214" s="512">
        <v>2434</v>
      </c>
      <c r="C214" s="513">
        <v>600079317</v>
      </c>
      <c r="D214" s="512">
        <v>46746480</v>
      </c>
      <c r="E214" s="511" t="s">
        <v>624</v>
      </c>
      <c r="F214" s="499">
        <v>3111</v>
      </c>
      <c r="G214" s="514" t="s">
        <v>278</v>
      </c>
      <c r="H214" s="495" t="s">
        <v>263</v>
      </c>
      <c r="I214" s="627">
        <f t="shared" si="348"/>
        <v>0</v>
      </c>
      <c r="J214" s="490">
        <v>0</v>
      </c>
      <c r="K214" s="14">
        <v>0</v>
      </c>
      <c r="L214" s="14">
        <v>0</v>
      </c>
      <c r="M214" s="14">
        <v>0</v>
      </c>
      <c r="N214" s="682">
        <v>0</v>
      </c>
      <c r="O214" s="696">
        <f t="shared" si="349"/>
        <v>0</v>
      </c>
      <c r="P214" s="490">
        <v>793694</v>
      </c>
      <c r="Q214" s="492">
        <v>0</v>
      </c>
      <c r="R214" s="492">
        <v>0</v>
      </c>
      <c r="S214" s="492">
        <v>0</v>
      </c>
      <c r="T214" s="492">
        <v>0</v>
      </c>
      <c r="U214" s="492">
        <f>O214+P214+Q214+R214+S214+T214</f>
        <v>793694</v>
      </c>
      <c r="V214" s="492">
        <v>0</v>
      </c>
      <c r="W214" s="492">
        <v>0</v>
      </c>
      <c r="X214" s="492">
        <v>0</v>
      </c>
      <c r="Y214" s="492">
        <f t="shared" si="361"/>
        <v>0</v>
      </c>
      <c r="Z214" s="492">
        <f t="shared" si="362"/>
        <v>793694</v>
      </c>
      <c r="AA214" s="494">
        <f t="shared" si="363"/>
        <v>268269</v>
      </c>
      <c r="AB214" s="494">
        <f>ROUND(U214*1%,0)</f>
        <v>7937</v>
      </c>
      <c r="AC214" s="14">
        <v>0</v>
      </c>
      <c r="AD214" s="892">
        <f t="shared" si="350"/>
        <v>1069900</v>
      </c>
      <c r="AE214" s="702">
        <v>0</v>
      </c>
      <c r="AF214" s="121">
        <v>2</v>
      </c>
      <c r="AG214" s="491">
        <v>0</v>
      </c>
      <c r="AH214" s="491">
        <v>0</v>
      </c>
      <c r="AI214" s="491">
        <v>0</v>
      </c>
      <c r="AJ214" s="491">
        <v>0</v>
      </c>
      <c r="AK214" s="626">
        <f>SUM(AE214:AJ214)</f>
        <v>2</v>
      </c>
      <c r="AL214" s="696">
        <f>I214+AD214</f>
        <v>1069900</v>
      </c>
      <c r="AM214" s="492">
        <f>J214+U214</f>
        <v>793694</v>
      </c>
      <c r="AN214" s="492">
        <f>Y214</f>
        <v>0</v>
      </c>
      <c r="AO214" s="492">
        <f t="shared" si="364"/>
        <v>268269</v>
      </c>
      <c r="AP214" s="492">
        <f t="shared" si="364"/>
        <v>7937</v>
      </c>
      <c r="AQ214" s="578">
        <f t="shared" si="364"/>
        <v>0</v>
      </c>
      <c r="AR214" s="626">
        <f>N214+AK214</f>
        <v>2</v>
      </c>
    </row>
    <row r="215" spans="1:44" ht="14.1" customHeight="1" x14ac:dyDescent="0.2">
      <c r="A215" s="510">
        <v>54</v>
      </c>
      <c r="B215" s="508">
        <v>2434</v>
      </c>
      <c r="C215" s="509">
        <v>600079317</v>
      </c>
      <c r="D215" s="508">
        <v>46746480</v>
      </c>
      <c r="E215" s="506" t="s">
        <v>625</v>
      </c>
      <c r="F215" s="510"/>
      <c r="G215" s="506"/>
      <c r="H215" s="505"/>
      <c r="I215" s="629">
        <f t="shared" ref="I215:N215" si="365">SUM(I213:I214)</f>
        <v>13481934</v>
      </c>
      <c r="J215" s="504">
        <f t="shared" si="365"/>
        <v>10001435</v>
      </c>
      <c r="K215" s="504">
        <f t="shared" si="365"/>
        <v>3380485</v>
      </c>
      <c r="L215" s="504">
        <f t="shared" si="365"/>
        <v>100014</v>
      </c>
      <c r="M215" s="504">
        <f t="shared" si="365"/>
        <v>0</v>
      </c>
      <c r="N215" s="885">
        <f t="shared" si="365"/>
        <v>16</v>
      </c>
      <c r="O215" s="629">
        <f t="shared" ref="O215:AR215" si="366">SUM(O213:O214)</f>
        <v>0</v>
      </c>
      <c r="P215" s="503">
        <f t="shared" si="366"/>
        <v>793694</v>
      </c>
      <c r="Q215" s="503">
        <f t="shared" si="366"/>
        <v>0</v>
      </c>
      <c r="R215" s="503">
        <f t="shared" si="366"/>
        <v>0</v>
      </c>
      <c r="S215" s="503">
        <f t="shared" si="366"/>
        <v>0</v>
      </c>
      <c r="T215" s="503">
        <f t="shared" si="366"/>
        <v>0</v>
      </c>
      <c r="U215" s="503">
        <f t="shared" si="366"/>
        <v>793694</v>
      </c>
      <c r="V215" s="503">
        <f t="shared" si="366"/>
        <v>0</v>
      </c>
      <c r="W215" s="503">
        <f t="shared" si="366"/>
        <v>0</v>
      </c>
      <c r="X215" s="503">
        <f t="shared" si="366"/>
        <v>0</v>
      </c>
      <c r="Y215" s="503">
        <f t="shared" si="366"/>
        <v>0</v>
      </c>
      <c r="Z215" s="503">
        <f t="shared" si="366"/>
        <v>793694</v>
      </c>
      <c r="AA215" s="503">
        <f t="shared" si="366"/>
        <v>268269</v>
      </c>
      <c r="AB215" s="503">
        <f t="shared" si="366"/>
        <v>7937</v>
      </c>
      <c r="AC215" s="503">
        <f t="shared" si="366"/>
        <v>0</v>
      </c>
      <c r="AD215" s="891">
        <f t="shared" si="366"/>
        <v>1069900</v>
      </c>
      <c r="AE215" s="701">
        <f t="shared" si="366"/>
        <v>0</v>
      </c>
      <c r="AF215" s="701">
        <f t="shared" si="366"/>
        <v>2</v>
      </c>
      <c r="AG215" s="502">
        <f t="shared" si="366"/>
        <v>0</v>
      </c>
      <c r="AH215" s="502">
        <f t="shared" si="366"/>
        <v>0</v>
      </c>
      <c r="AI215" s="502">
        <f t="shared" si="366"/>
        <v>0</v>
      </c>
      <c r="AJ215" s="502">
        <f t="shared" si="366"/>
        <v>0</v>
      </c>
      <c r="AK215" s="630">
        <f t="shared" si="366"/>
        <v>2</v>
      </c>
      <c r="AL215" s="629">
        <f t="shared" si="366"/>
        <v>14551834</v>
      </c>
      <c r="AM215" s="503">
        <f t="shared" si="366"/>
        <v>10795129</v>
      </c>
      <c r="AN215" s="552">
        <f t="shared" si="366"/>
        <v>0</v>
      </c>
      <c r="AO215" s="503">
        <f t="shared" si="366"/>
        <v>3648754</v>
      </c>
      <c r="AP215" s="503">
        <f t="shared" si="366"/>
        <v>107951</v>
      </c>
      <c r="AQ215" s="503">
        <f t="shared" si="366"/>
        <v>0</v>
      </c>
      <c r="AR215" s="630">
        <f t="shared" si="366"/>
        <v>18</v>
      </c>
    </row>
    <row r="216" spans="1:44" ht="14.1" customHeight="1" x14ac:dyDescent="0.2">
      <c r="A216" s="499">
        <v>55</v>
      </c>
      <c r="B216" s="512">
        <v>2484</v>
      </c>
      <c r="C216" s="513">
        <v>600079864</v>
      </c>
      <c r="D216" s="512">
        <v>46746145</v>
      </c>
      <c r="E216" s="511" t="s">
        <v>626</v>
      </c>
      <c r="F216" s="499">
        <v>3113</v>
      </c>
      <c r="G216" s="511" t="s">
        <v>280</v>
      </c>
      <c r="H216" s="495" t="s">
        <v>262</v>
      </c>
      <c r="I216" s="627">
        <f t="shared" si="348"/>
        <v>45066364</v>
      </c>
      <c r="J216" s="14">
        <v>33432021</v>
      </c>
      <c r="K216" s="14">
        <v>11300023</v>
      </c>
      <c r="L216" s="14">
        <v>334320</v>
      </c>
      <c r="M216" s="14">
        <v>0</v>
      </c>
      <c r="N216" s="121">
        <v>45.091000000000001</v>
      </c>
      <c r="O216" s="696">
        <f t="shared" si="349"/>
        <v>-120000</v>
      </c>
      <c r="P216" s="492">
        <v>0</v>
      </c>
      <c r="Q216" s="492">
        <v>0</v>
      </c>
      <c r="R216" s="492">
        <v>0</v>
      </c>
      <c r="S216" s="492">
        <v>0</v>
      </c>
      <c r="T216" s="492">
        <v>0</v>
      </c>
      <c r="U216" s="492">
        <f>O216+P216+Q216+R216+S216+T216</f>
        <v>-120000</v>
      </c>
      <c r="V216" s="492">
        <v>120000</v>
      </c>
      <c r="W216" s="492">
        <v>0</v>
      </c>
      <c r="X216" s="492">
        <v>0</v>
      </c>
      <c r="Y216" s="492">
        <f t="shared" ref="Y216:Y219" si="367">V216+W216+X216</f>
        <v>120000</v>
      </c>
      <c r="Z216" s="492">
        <f t="shared" ref="Z216:Z219" si="368">U216+Y216</f>
        <v>0</v>
      </c>
      <c r="AA216" s="494">
        <f t="shared" ref="AA216:AA219" si="369">ROUND((U216+Y216)*33.8%,0)</f>
        <v>0</v>
      </c>
      <c r="AB216" s="494">
        <f>ROUND(U216*1%,0)</f>
        <v>-1200</v>
      </c>
      <c r="AC216" s="14">
        <v>0</v>
      </c>
      <c r="AD216" s="892">
        <f t="shared" si="350"/>
        <v>-1200</v>
      </c>
      <c r="AE216" s="702">
        <v>-0.04</v>
      </c>
      <c r="AF216" s="702">
        <v>0</v>
      </c>
      <c r="AG216" s="491">
        <v>0</v>
      </c>
      <c r="AH216" s="491">
        <v>0</v>
      </c>
      <c r="AI216" s="491">
        <v>0</v>
      </c>
      <c r="AJ216" s="491">
        <v>0</v>
      </c>
      <c r="AK216" s="626">
        <f>SUM(AE216:AJ216)</f>
        <v>-0.04</v>
      </c>
      <c r="AL216" s="696">
        <f>I216+AD216</f>
        <v>45065164</v>
      </c>
      <c r="AM216" s="492">
        <f>J216+U216</f>
        <v>33312021</v>
      </c>
      <c r="AN216" s="492">
        <f>Y216</f>
        <v>120000</v>
      </c>
      <c r="AO216" s="492">
        <f t="shared" ref="AO216:AQ219" si="370">K216+AA216</f>
        <v>11300023</v>
      </c>
      <c r="AP216" s="492">
        <f t="shared" si="370"/>
        <v>333120</v>
      </c>
      <c r="AQ216" s="578">
        <f t="shared" si="370"/>
        <v>0</v>
      </c>
      <c r="AR216" s="626">
        <f>N216+AK216</f>
        <v>45.051000000000002</v>
      </c>
    </row>
    <row r="217" spans="1:44" ht="14.1" customHeight="1" x14ac:dyDescent="0.2">
      <c r="A217" s="499">
        <v>55</v>
      </c>
      <c r="B217" s="512">
        <v>2484</v>
      </c>
      <c r="C217" s="513">
        <v>600079864</v>
      </c>
      <c r="D217" s="512">
        <v>46746145</v>
      </c>
      <c r="E217" s="511" t="s">
        <v>626</v>
      </c>
      <c r="F217" s="499">
        <v>3113</v>
      </c>
      <c r="G217" s="511" t="s">
        <v>799</v>
      </c>
      <c r="H217" s="495" t="s">
        <v>262</v>
      </c>
      <c r="I217" s="627">
        <f t="shared" si="348"/>
        <v>0</v>
      </c>
      <c r="J217" s="490">
        <v>0</v>
      </c>
      <c r="K217" s="14">
        <v>0</v>
      </c>
      <c r="L217" s="14">
        <v>0</v>
      </c>
      <c r="M217" s="14">
        <v>0</v>
      </c>
      <c r="N217" s="682">
        <v>0</v>
      </c>
      <c r="O217" s="696">
        <f t="shared" si="349"/>
        <v>0</v>
      </c>
      <c r="P217" s="492">
        <v>0</v>
      </c>
      <c r="Q217" s="492">
        <v>0</v>
      </c>
      <c r="R217" s="492">
        <v>732216</v>
      </c>
      <c r="S217" s="492">
        <v>0</v>
      </c>
      <c r="T217" s="492">
        <v>0</v>
      </c>
      <c r="U217" s="492">
        <f>O217+P217+Q217+R217+S217+T217</f>
        <v>732216</v>
      </c>
      <c r="V217" s="492">
        <v>0</v>
      </c>
      <c r="W217" s="492">
        <v>0</v>
      </c>
      <c r="X217" s="492">
        <v>0</v>
      </c>
      <c r="Y217" s="492">
        <f t="shared" ref="Y217" si="371">V217+W217+X217</f>
        <v>0</v>
      </c>
      <c r="Z217" s="492">
        <f t="shared" ref="Z217" si="372">U217+Y217</f>
        <v>732216</v>
      </c>
      <c r="AA217" s="494">
        <f t="shared" ref="AA217" si="373">ROUND((U217+Y217)*33.8%,0)</f>
        <v>247489</v>
      </c>
      <c r="AB217" s="494">
        <f>ROUND(U217*1%,0)</f>
        <v>7322</v>
      </c>
      <c r="AC217" s="14">
        <v>0</v>
      </c>
      <c r="AD217" s="892">
        <f t="shared" si="350"/>
        <v>987027</v>
      </c>
      <c r="AE217" s="702">
        <v>0</v>
      </c>
      <c r="AF217" s="703">
        <v>0</v>
      </c>
      <c r="AG217" s="491">
        <v>1.2</v>
      </c>
      <c r="AH217" s="491">
        <v>0</v>
      </c>
      <c r="AI217" s="491">
        <v>0</v>
      </c>
      <c r="AJ217" s="491">
        <v>0</v>
      </c>
      <c r="AK217" s="626">
        <f>SUM(AE217:AJ217)</f>
        <v>1.2</v>
      </c>
      <c r="AL217" s="696">
        <f>I217+AD217</f>
        <v>987027</v>
      </c>
      <c r="AM217" s="492">
        <f>J217+U217</f>
        <v>732216</v>
      </c>
      <c r="AN217" s="492">
        <f>Y217</f>
        <v>0</v>
      </c>
      <c r="AO217" s="492">
        <f t="shared" si="370"/>
        <v>247489</v>
      </c>
      <c r="AP217" s="492">
        <f t="shared" si="370"/>
        <v>7322</v>
      </c>
      <c r="AQ217" s="578">
        <f t="shared" si="370"/>
        <v>0</v>
      </c>
      <c r="AR217" s="626">
        <f>N217+AK217</f>
        <v>1.2</v>
      </c>
    </row>
    <row r="218" spans="1:44" ht="14.1" customHeight="1" x14ac:dyDescent="0.2">
      <c r="A218" s="499">
        <v>55</v>
      </c>
      <c r="B218" s="512">
        <v>2484</v>
      </c>
      <c r="C218" s="513">
        <v>600079864</v>
      </c>
      <c r="D218" s="512">
        <v>46746145</v>
      </c>
      <c r="E218" s="511" t="s">
        <v>626</v>
      </c>
      <c r="F218" s="499">
        <v>3113</v>
      </c>
      <c r="G218" s="514" t="s">
        <v>278</v>
      </c>
      <c r="H218" s="495" t="s">
        <v>263</v>
      </c>
      <c r="I218" s="627">
        <f t="shared" si="348"/>
        <v>0</v>
      </c>
      <c r="J218" s="490">
        <v>0</v>
      </c>
      <c r="K218" s="14">
        <v>0</v>
      </c>
      <c r="L218" s="14">
        <v>0</v>
      </c>
      <c r="M218" s="14">
        <v>0</v>
      </c>
      <c r="N218" s="682">
        <v>0</v>
      </c>
      <c r="O218" s="696">
        <f t="shared" si="349"/>
        <v>-10000</v>
      </c>
      <c r="P218" s="490">
        <v>4350482</v>
      </c>
      <c r="Q218" s="492">
        <v>0</v>
      </c>
      <c r="R218" s="492">
        <v>0</v>
      </c>
      <c r="S218" s="492">
        <v>0</v>
      </c>
      <c r="T218" s="492">
        <v>0</v>
      </c>
      <c r="U218" s="492">
        <f>O218+P218+Q218+R218+S218+T218</f>
        <v>4340482</v>
      </c>
      <c r="V218" s="492">
        <v>10000</v>
      </c>
      <c r="W218" s="492">
        <v>0</v>
      </c>
      <c r="X218" s="492">
        <v>0</v>
      </c>
      <c r="Y218" s="492">
        <f t="shared" si="367"/>
        <v>10000</v>
      </c>
      <c r="Z218" s="492">
        <f t="shared" si="368"/>
        <v>4350482</v>
      </c>
      <c r="AA218" s="494">
        <f t="shared" si="369"/>
        <v>1470463</v>
      </c>
      <c r="AB218" s="494">
        <f>ROUND(U218*1%,0)</f>
        <v>43405</v>
      </c>
      <c r="AC218" s="14">
        <v>0</v>
      </c>
      <c r="AD218" s="892">
        <f t="shared" si="350"/>
        <v>5864350</v>
      </c>
      <c r="AE218" s="702">
        <v>-0.01</v>
      </c>
      <c r="AF218" s="121">
        <v>11.010000000000002</v>
      </c>
      <c r="AG218" s="491">
        <v>0</v>
      </c>
      <c r="AH218" s="491">
        <v>0</v>
      </c>
      <c r="AI218" s="491">
        <v>0</v>
      </c>
      <c r="AJ218" s="491">
        <v>0</v>
      </c>
      <c r="AK218" s="626">
        <f>SUM(AE218:AJ218)</f>
        <v>11.000000000000002</v>
      </c>
      <c r="AL218" s="696">
        <f>I218+AD218</f>
        <v>5864350</v>
      </c>
      <c r="AM218" s="492">
        <f>J218+U218</f>
        <v>4340482</v>
      </c>
      <c r="AN218" s="492">
        <f>Y218</f>
        <v>10000</v>
      </c>
      <c r="AO218" s="492">
        <f t="shared" si="370"/>
        <v>1470463</v>
      </c>
      <c r="AP218" s="492">
        <f t="shared" si="370"/>
        <v>43405</v>
      </c>
      <c r="AQ218" s="578">
        <f t="shared" si="370"/>
        <v>0</v>
      </c>
      <c r="AR218" s="626">
        <f>N218+AK218</f>
        <v>11.000000000000002</v>
      </c>
    </row>
    <row r="219" spans="1:44" ht="14.1" customHeight="1" x14ac:dyDescent="0.2">
      <c r="A219" s="499">
        <v>55</v>
      </c>
      <c r="B219" s="512">
        <v>2484</v>
      </c>
      <c r="C219" s="513">
        <v>600079864</v>
      </c>
      <c r="D219" s="512">
        <v>46746145</v>
      </c>
      <c r="E219" s="511" t="s">
        <v>626</v>
      </c>
      <c r="F219" s="499">
        <v>3143</v>
      </c>
      <c r="G219" s="514" t="s">
        <v>794</v>
      </c>
      <c r="H219" s="495" t="s">
        <v>262</v>
      </c>
      <c r="I219" s="627">
        <f t="shared" si="348"/>
        <v>4697543</v>
      </c>
      <c r="J219" s="14">
        <v>3484824</v>
      </c>
      <c r="K219" s="14">
        <v>1177871</v>
      </c>
      <c r="L219" s="14">
        <v>34848</v>
      </c>
      <c r="M219" s="14">
        <v>0</v>
      </c>
      <c r="N219" s="121">
        <v>6.4786999999999999</v>
      </c>
      <c r="O219" s="696">
        <f t="shared" si="349"/>
        <v>-60000</v>
      </c>
      <c r="P219" s="492">
        <v>0</v>
      </c>
      <c r="Q219" s="492">
        <v>0</v>
      </c>
      <c r="R219" s="492">
        <v>0</v>
      </c>
      <c r="S219" s="492">
        <v>0</v>
      </c>
      <c r="T219" s="492">
        <v>0</v>
      </c>
      <c r="U219" s="492">
        <f>O219+P219+Q219+R219+S219+T219</f>
        <v>-60000</v>
      </c>
      <c r="V219" s="492">
        <v>60000</v>
      </c>
      <c r="W219" s="492">
        <v>0</v>
      </c>
      <c r="X219" s="492">
        <v>0</v>
      </c>
      <c r="Y219" s="492">
        <f t="shared" si="367"/>
        <v>60000</v>
      </c>
      <c r="Z219" s="492">
        <f t="shared" si="368"/>
        <v>0</v>
      </c>
      <c r="AA219" s="494">
        <f t="shared" si="369"/>
        <v>0</v>
      </c>
      <c r="AB219" s="494">
        <f>ROUND(U219*1%,0)</f>
        <v>-600</v>
      </c>
      <c r="AC219" s="14">
        <v>0</v>
      </c>
      <c r="AD219" s="892">
        <f t="shared" si="350"/>
        <v>-600</v>
      </c>
      <c r="AE219" s="702">
        <v>-0.04</v>
      </c>
      <c r="AF219" s="702">
        <v>0</v>
      </c>
      <c r="AG219" s="491">
        <v>0</v>
      </c>
      <c r="AH219" s="491">
        <v>0</v>
      </c>
      <c r="AI219" s="491">
        <v>0</v>
      </c>
      <c r="AJ219" s="491">
        <v>0</v>
      </c>
      <c r="AK219" s="626">
        <f>SUM(AE219:AJ219)</f>
        <v>-0.04</v>
      </c>
      <c r="AL219" s="696">
        <f>I219+AD219</f>
        <v>4696943</v>
      </c>
      <c r="AM219" s="492">
        <f>J219+U219</f>
        <v>3424824</v>
      </c>
      <c r="AN219" s="492">
        <f>Y219</f>
        <v>60000</v>
      </c>
      <c r="AO219" s="492">
        <f t="shared" si="370"/>
        <v>1177871</v>
      </c>
      <c r="AP219" s="492">
        <f t="shared" si="370"/>
        <v>34248</v>
      </c>
      <c r="AQ219" s="578">
        <f t="shared" si="370"/>
        <v>0</v>
      </c>
      <c r="AR219" s="626">
        <f>N219+AK219</f>
        <v>6.4386999999999999</v>
      </c>
    </row>
    <row r="220" spans="1:44" ht="14.1" customHeight="1" x14ac:dyDescent="0.2">
      <c r="A220" s="510">
        <v>55</v>
      </c>
      <c r="B220" s="508">
        <v>2484</v>
      </c>
      <c r="C220" s="509">
        <v>600079864</v>
      </c>
      <c r="D220" s="508">
        <v>46746145</v>
      </c>
      <c r="E220" s="506" t="s">
        <v>627</v>
      </c>
      <c r="F220" s="510"/>
      <c r="G220" s="506"/>
      <c r="H220" s="505"/>
      <c r="I220" s="629">
        <f t="shared" ref="I220:AR220" si="374">SUM(I216:I219)</f>
        <v>49763907</v>
      </c>
      <c r="J220" s="504">
        <f t="shared" si="374"/>
        <v>36916845</v>
      </c>
      <c r="K220" s="504">
        <f t="shared" si="374"/>
        <v>12477894</v>
      </c>
      <c r="L220" s="504">
        <f t="shared" si="374"/>
        <v>369168</v>
      </c>
      <c r="M220" s="504">
        <f t="shared" si="374"/>
        <v>0</v>
      </c>
      <c r="N220" s="885">
        <f t="shared" si="374"/>
        <v>51.569699999999997</v>
      </c>
      <c r="O220" s="629">
        <f t="shared" si="374"/>
        <v>-190000</v>
      </c>
      <c r="P220" s="503">
        <f t="shared" si="374"/>
        <v>4350482</v>
      </c>
      <c r="Q220" s="503">
        <f t="shared" si="374"/>
        <v>0</v>
      </c>
      <c r="R220" s="503">
        <f t="shared" si="374"/>
        <v>732216</v>
      </c>
      <c r="S220" s="503">
        <f t="shared" si="374"/>
        <v>0</v>
      </c>
      <c r="T220" s="503">
        <f t="shared" si="374"/>
        <v>0</v>
      </c>
      <c r="U220" s="503">
        <f t="shared" si="374"/>
        <v>4892698</v>
      </c>
      <c r="V220" s="503">
        <f t="shared" si="374"/>
        <v>190000</v>
      </c>
      <c r="W220" s="503">
        <f t="shared" si="374"/>
        <v>0</v>
      </c>
      <c r="X220" s="503">
        <f t="shared" si="374"/>
        <v>0</v>
      </c>
      <c r="Y220" s="503">
        <f t="shared" si="374"/>
        <v>190000</v>
      </c>
      <c r="Z220" s="503">
        <f t="shared" si="374"/>
        <v>5082698</v>
      </c>
      <c r="AA220" s="503">
        <f t="shared" si="374"/>
        <v>1717952</v>
      </c>
      <c r="AB220" s="503">
        <f t="shared" si="374"/>
        <v>48927</v>
      </c>
      <c r="AC220" s="503">
        <f t="shared" si="374"/>
        <v>0</v>
      </c>
      <c r="AD220" s="891">
        <f t="shared" si="374"/>
        <v>6849577</v>
      </c>
      <c r="AE220" s="701">
        <f t="shared" si="374"/>
        <v>-0.09</v>
      </c>
      <c r="AF220" s="701">
        <f t="shared" si="374"/>
        <v>11.010000000000002</v>
      </c>
      <c r="AG220" s="502">
        <f t="shared" si="374"/>
        <v>1.2</v>
      </c>
      <c r="AH220" s="502">
        <f t="shared" si="374"/>
        <v>0</v>
      </c>
      <c r="AI220" s="502">
        <f t="shared" si="374"/>
        <v>0</v>
      </c>
      <c r="AJ220" s="502">
        <f t="shared" si="374"/>
        <v>0</v>
      </c>
      <c r="AK220" s="630">
        <f t="shared" si="374"/>
        <v>12.120000000000003</v>
      </c>
      <c r="AL220" s="629">
        <f t="shared" si="374"/>
        <v>56613484</v>
      </c>
      <c r="AM220" s="503">
        <f t="shared" si="374"/>
        <v>41809543</v>
      </c>
      <c r="AN220" s="552">
        <f t="shared" si="374"/>
        <v>190000</v>
      </c>
      <c r="AO220" s="503">
        <f t="shared" si="374"/>
        <v>14195846</v>
      </c>
      <c r="AP220" s="503">
        <f t="shared" si="374"/>
        <v>418095</v>
      </c>
      <c r="AQ220" s="503">
        <f t="shared" si="374"/>
        <v>0</v>
      </c>
      <c r="AR220" s="630">
        <f t="shared" si="374"/>
        <v>63.689700000000002</v>
      </c>
    </row>
    <row r="221" spans="1:44" ht="14.1" customHeight="1" x14ac:dyDescent="0.2">
      <c r="A221" s="499">
        <v>56</v>
      </c>
      <c r="B221" s="512">
        <v>2401</v>
      </c>
      <c r="C221" s="513">
        <v>600079597</v>
      </c>
      <c r="D221" s="512">
        <v>72741538</v>
      </c>
      <c r="E221" s="511" t="s">
        <v>628</v>
      </c>
      <c r="F221" s="499">
        <v>3111</v>
      </c>
      <c r="G221" s="511" t="s">
        <v>277</v>
      </c>
      <c r="H221" s="495" t="s">
        <v>262</v>
      </c>
      <c r="I221" s="627">
        <f t="shared" si="348"/>
        <v>3336642</v>
      </c>
      <c r="J221" s="14">
        <v>2475253</v>
      </c>
      <c r="K221" s="14">
        <v>836636</v>
      </c>
      <c r="L221" s="14">
        <v>24753</v>
      </c>
      <c r="M221" s="14">
        <v>0</v>
      </c>
      <c r="N221" s="121">
        <v>4</v>
      </c>
      <c r="O221" s="696">
        <f t="shared" si="349"/>
        <v>-70000</v>
      </c>
      <c r="P221" s="492">
        <v>0</v>
      </c>
      <c r="Q221" s="492">
        <v>0</v>
      </c>
      <c r="R221" s="492">
        <v>0</v>
      </c>
      <c r="S221" s="492">
        <v>0</v>
      </c>
      <c r="T221" s="492">
        <v>0</v>
      </c>
      <c r="U221" s="492">
        <f>O221+P221+Q221+R221+S221+T221</f>
        <v>-70000</v>
      </c>
      <c r="V221" s="492">
        <v>70000</v>
      </c>
      <c r="W221" s="492">
        <v>0</v>
      </c>
      <c r="X221" s="492">
        <v>0</v>
      </c>
      <c r="Y221" s="492">
        <f t="shared" ref="Y221:Y222" si="375">V221+W221+X221</f>
        <v>70000</v>
      </c>
      <c r="Z221" s="492">
        <f t="shared" ref="Z221:Z222" si="376">U221+Y221</f>
        <v>0</v>
      </c>
      <c r="AA221" s="494">
        <f t="shared" ref="AA221:AA222" si="377">ROUND((U221+Y221)*33.8%,0)</f>
        <v>0</v>
      </c>
      <c r="AB221" s="494">
        <f>ROUND(U221*1%,0)</f>
        <v>-700</v>
      </c>
      <c r="AC221" s="14">
        <v>0</v>
      </c>
      <c r="AD221" s="892">
        <f t="shared" si="350"/>
        <v>-700</v>
      </c>
      <c r="AE221" s="702">
        <v>-0.12</v>
      </c>
      <c r="AF221" s="702">
        <v>0</v>
      </c>
      <c r="AG221" s="491">
        <v>0</v>
      </c>
      <c r="AH221" s="491">
        <v>0</v>
      </c>
      <c r="AI221" s="491">
        <v>0</v>
      </c>
      <c r="AJ221" s="491">
        <v>0</v>
      </c>
      <c r="AK221" s="626">
        <f>SUM(AE221:AJ221)</f>
        <v>-0.12</v>
      </c>
      <c r="AL221" s="696">
        <f>I221+AD221</f>
        <v>3335942</v>
      </c>
      <c r="AM221" s="492">
        <f>J221+U221</f>
        <v>2405253</v>
      </c>
      <c r="AN221" s="492">
        <f>Y221</f>
        <v>70000</v>
      </c>
      <c r="AO221" s="492">
        <f t="shared" ref="AO221:AQ222" si="378">K221+AA221</f>
        <v>836636</v>
      </c>
      <c r="AP221" s="492">
        <f t="shared" si="378"/>
        <v>24053</v>
      </c>
      <c r="AQ221" s="578">
        <f t="shared" si="378"/>
        <v>0</v>
      </c>
      <c r="AR221" s="626">
        <f>N221+AK221</f>
        <v>3.88</v>
      </c>
    </row>
    <row r="222" spans="1:44" ht="14.1" customHeight="1" x14ac:dyDescent="0.2">
      <c r="A222" s="499">
        <v>56</v>
      </c>
      <c r="B222" s="512">
        <v>2401</v>
      </c>
      <c r="C222" s="513">
        <v>600079597</v>
      </c>
      <c r="D222" s="512">
        <v>72741538</v>
      </c>
      <c r="E222" s="511" t="s">
        <v>628</v>
      </c>
      <c r="F222" s="499">
        <v>3111</v>
      </c>
      <c r="G222" s="511" t="s">
        <v>278</v>
      </c>
      <c r="H222" s="495" t="s">
        <v>263</v>
      </c>
      <c r="I222" s="627">
        <f t="shared" si="348"/>
        <v>0</v>
      </c>
      <c r="J222" s="490">
        <v>0</v>
      </c>
      <c r="K222" s="14">
        <v>0</v>
      </c>
      <c r="L222" s="14">
        <v>0</v>
      </c>
      <c r="M222" s="14">
        <v>0</v>
      </c>
      <c r="N222" s="682">
        <v>0</v>
      </c>
      <c r="O222" s="696">
        <f t="shared" si="349"/>
        <v>0</v>
      </c>
      <c r="P222" s="490">
        <v>756354</v>
      </c>
      <c r="Q222" s="492">
        <v>0</v>
      </c>
      <c r="R222" s="492">
        <v>0</v>
      </c>
      <c r="S222" s="492">
        <v>0</v>
      </c>
      <c r="T222" s="492">
        <v>0</v>
      </c>
      <c r="U222" s="492">
        <f>O222+P222+Q222+R222+S222+T222</f>
        <v>756354</v>
      </c>
      <c r="V222" s="492">
        <v>0</v>
      </c>
      <c r="W222" s="492">
        <v>0</v>
      </c>
      <c r="X222" s="492">
        <v>0</v>
      </c>
      <c r="Y222" s="492">
        <f t="shared" si="375"/>
        <v>0</v>
      </c>
      <c r="Z222" s="492">
        <f t="shared" si="376"/>
        <v>756354</v>
      </c>
      <c r="AA222" s="494">
        <f t="shared" si="377"/>
        <v>255648</v>
      </c>
      <c r="AB222" s="494">
        <f>ROUND(U222*1%,0)</f>
        <v>7564</v>
      </c>
      <c r="AC222" s="14">
        <v>0</v>
      </c>
      <c r="AD222" s="892">
        <f t="shared" si="350"/>
        <v>1019566</v>
      </c>
      <c r="AE222" s="702">
        <v>0</v>
      </c>
      <c r="AF222" s="121">
        <v>1.8400000000000003</v>
      </c>
      <c r="AG222" s="491">
        <v>0</v>
      </c>
      <c r="AH222" s="491">
        <v>0</v>
      </c>
      <c r="AI222" s="491">
        <v>0</v>
      </c>
      <c r="AJ222" s="491">
        <v>0</v>
      </c>
      <c r="AK222" s="626">
        <f>SUM(AE222:AJ222)</f>
        <v>1.8400000000000003</v>
      </c>
      <c r="AL222" s="696">
        <f>I222+AD222</f>
        <v>1019566</v>
      </c>
      <c r="AM222" s="492">
        <f>J222+U222</f>
        <v>756354</v>
      </c>
      <c r="AN222" s="492">
        <f>Y222</f>
        <v>0</v>
      </c>
      <c r="AO222" s="492">
        <f t="shared" si="378"/>
        <v>255648</v>
      </c>
      <c r="AP222" s="492">
        <f t="shared" si="378"/>
        <v>7564</v>
      </c>
      <c r="AQ222" s="578">
        <f t="shared" si="378"/>
        <v>0</v>
      </c>
      <c r="AR222" s="626">
        <f>N222+AK222</f>
        <v>1.8400000000000003</v>
      </c>
    </row>
    <row r="223" spans="1:44" ht="14.1" customHeight="1" x14ac:dyDescent="0.2">
      <c r="A223" s="510">
        <v>56</v>
      </c>
      <c r="B223" s="508">
        <v>2401</v>
      </c>
      <c r="C223" s="509">
        <v>600079597</v>
      </c>
      <c r="D223" s="508">
        <v>72741538</v>
      </c>
      <c r="E223" s="506" t="s">
        <v>629</v>
      </c>
      <c r="F223" s="510"/>
      <c r="G223" s="506"/>
      <c r="H223" s="505"/>
      <c r="I223" s="629">
        <f t="shared" ref="I223:N223" si="379">SUM(I221:I222)</f>
        <v>3336642</v>
      </c>
      <c r="J223" s="504">
        <f t="shared" si="379"/>
        <v>2475253</v>
      </c>
      <c r="K223" s="504">
        <f t="shared" si="379"/>
        <v>836636</v>
      </c>
      <c r="L223" s="504">
        <f t="shared" si="379"/>
        <v>24753</v>
      </c>
      <c r="M223" s="504">
        <f t="shared" si="379"/>
        <v>0</v>
      </c>
      <c r="N223" s="885">
        <f t="shared" si="379"/>
        <v>4</v>
      </c>
      <c r="O223" s="629">
        <f t="shared" ref="O223:AR223" si="380">SUM(O221:O222)</f>
        <v>-70000</v>
      </c>
      <c r="P223" s="503">
        <f t="shared" si="380"/>
        <v>756354</v>
      </c>
      <c r="Q223" s="503">
        <f t="shared" si="380"/>
        <v>0</v>
      </c>
      <c r="R223" s="503">
        <f t="shared" si="380"/>
        <v>0</v>
      </c>
      <c r="S223" s="503">
        <f t="shared" si="380"/>
        <v>0</v>
      </c>
      <c r="T223" s="503">
        <f t="shared" si="380"/>
        <v>0</v>
      </c>
      <c r="U223" s="503">
        <f t="shared" si="380"/>
        <v>686354</v>
      </c>
      <c r="V223" s="503">
        <f t="shared" si="380"/>
        <v>70000</v>
      </c>
      <c r="W223" s="503">
        <f t="shared" si="380"/>
        <v>0</v>
      </c>
      <c r="X223" s="503">
        <f t="shared" si="380"/>
        <v>0</v>
      </c>
      <c r="Y223" s="503">
        <f t="shared" si="380"/>
        <v>70000</v>
      </c>
      <c r="Z223" s="503">
        <f t="shared" si="380"/>
        <v>756354</v>
      </c>
      <c r="AA223" s="503">
        <f t="shared" si="380"/>
        <v>255648</v>
      </c>
      <c r="AB223" s="503">
        <f t="shared" si="380"/>
        <v>6864</v>
      </c>
      <c r="AC223" s="503">
        <f t="shared" si="380"/>
        <v>0</v>
      </c>
      <c r="AD223" s="891">
        <f t="shared" si="380"/>
        <v>1018866</v>
      </c>
      <c r="AE223" s="701">
        <f t="shared" si="380"/>
        <v>-0.12</v>
      </c>
      <c r="AF223" s="701">
        <f t="shared" si="380"/>
        <v>1.8400000000000003</v>
      </c>
      <c r="AG223" s="502">
        <f t="shared" si="380"/>
        <v>0</v>
      </c>
      <c r="AH223" s="502">
        <f t="shared" si="380"/>
        <v>0</v>
      </c>
      <c r="AI223" s="502">
        <f t="shared" si="380"/>
        <v>0</v>
      </c>
      <c r="AJ223" s="502">
        <f t="shared" si="380"/>
        <v>0</v>
      </c>
      <c r="AK223" s="630">
        <f t="shared" si="380"/>
        <v>1.7200000000000002</v>
      </c>
      <c r="AL223" s="629">
        <f t="shared" si="380"/>
        <v>4355508</v>
      </c>
      <c r="AM223" s="503">
        <f t="shared" si="380"/>
        <v>3161607</v>
      </c>
      <c r="AN223" s="552">
        <f t="shared" si="380"/>
        <v>70000</v>
      </c>
      <c r="AO223" s="503">
        <f t="shared" si="380"/>
        <v>1092284</v>
      </c>
      <c r="AP223" s="503">
        <f t="shared" si="380"/>
        <v>31617</v>
      </c>
      <c r="AQ223" s="503">
        <f t="shared" si="380"/>
        <v>0</v>
      </c>
      <c r="AR223" s="630">
        <f t="shared" si="380"/>
        <v>5.7200000000000006</v>
      </c>
    </row>
    <row r="224" spans="1:44" ht="14.1" customHeight="1" x14ac:dyDescent="0.2">
      <c r="A224" s="499">
        <v>57</v>
      </c>
      <c r="B224" s="512">
        <v>2449</v>
      </c>
      <c r="C224" s="513">
        <v>650029348</v>
      </c>
      <c r="D224" s="512">
        <v>72742071</v>
      </c>
      <c r="E224" s="511" t="s">
        <v>630</v>
      </c>
      <c r="F224" s="499">
        <v>3111</v>
      </c>
      <c r="G224" s="511" t="s">
        <v>277</v>
      </c>
      <c r="H224" s="495" t="s">
        <v>262</v>
      </c>
      <c r="I224" s="627">
        <f t="shared" si="348"/>
        <v>3116884</v>
      </c>
      <c r="J224" s="14">
        <v>2312229</v>
      </c>
      <c r="K224" s="14">
        <v>781533</v>
      </c>
      <c r="L224" s="14">
        <v>23122</v>
      </c>
      <c r="M224" s="14">
        <v>0</v>
      </c>
      <c r="N224" s="121">
        <v>4</v>
      </c>
      <c r="O224" s="696">
        <f t="shared" si="349"/>
        <v>0</v>
      </c>
      <c r="P224" s="492">
        <v>0</v>
      </c>
      <c r="Q224" s="492">
        <v>0</v>
      </c>
      <c r="R224" s="492">
        <v>0</v>
      </c>
      <c r="S224" s="492">
        <v>0</v>
      </c>
      <c r="T224" s="492">
        <v>0</v>
      </c>
      <c r="U224" s="492">
        <f>O224+P224+Q224+R224+S224+T224</f>
        <v>0</v>
      </c>
      <c r="V224" s="492">
        <v>0</v>
      </c>
      <c r="W224" s="492">
        <v>0</v>
      </c>
      <c r="X224" s="492">
        <v>0</v>
      </c>
      <c r="Y224" s="492">
        <f t="shared" ref="Y224:Y227" si="381">V224+W224+X224</f>
        <v>0</v>
      </c>
      <c r="Z224" s="492">
        <f t="shared" ref="Z224:Z227" si="382">U224+Y224</f>
        <v>0</v>
      </c>
      <c r="AA224" s="494">
        <f t="shared" ref="AA224:AA227" si="383">ROUND((U224+Y224)*33.8%,0)</f>
        <v>0</v>
      </c>
      <c r="AB224" s="494">
        <f t="shared" ref="AB224:AB227" si="384">ROUND(U224*1%,0)</f>
        <v>0</v>
      </c>
      <c r="AC224" s="14">
        <v>0</v>
      </c>
      <c r="AD224" s="892">
        <f t="shared" si="350"/>
        <v>0</v>
      </c>
      <c r="AE224" s="702">
        <v>0</v>
      </c>
      <c r="AF224" s="702">
        <v>0</v>
      </c>
      <c r="AG224" s="491">
        <v>0</v>
      </c>
      <c r="AH224" s="491">
        <v>0</v>
      </c>
      <c r="AI224" s="491">
        <v>0</v>
      </c>
      <c r="AJ224" s="491">
        <v>0</v>
      </c>
      <c r="AK224" s="626">
        <f>SUM(AE224:AJ224)</f>
        <v>0</v>
      </c>
      <c r="AL224" s="696">
        <f>I224+AD224</f>
        <v>3116884</v>
      </c>
      <c r="AM224" s="492">
        <f>J224+U224</f>
        <v>2312229</v>
      </c>
      <c r="AN224" s="492">
        <f>Y224</f>
        <v>0</v>
      </c>
      <c r="AO224" s="492">
        <f t="shared" ref="AO224:AQ227" si="385">K224+AA224</f>
        <v>781533</v>
      </c>
      <c r="AP224" s="492">
        <f t="shared" si="385"/>
        <v>23122</v>
      </c>
      <c r="AQ224" s="578">
        <f t="shared" si="385"/>
        <v>0</v>
      </c>
      <c r="AR224" s="626">
        <f>N224+AK224</f>
        <v>4</v>
      </c>
    </row>
    <row r="225" spans="1:44" ht="14.1" customHeight="1" x14ac:dyDescent="0.2">
      <c r="A225" s="499">
        <v>57</v>
      </c>
      <c r="B225" s="512">
        <v>2449</v>
      </c>
      <c r="C225" s="513">
        <v>650029348</v>
      </c>
      <c r="D225" s="512">
        <v>72742071</v>
      </c>
      <c r="E225" s="511" t="s">
        <v>630</v>
      </c>
      <c r="F225" s="499">
        <v>3117</v>
      </c>
      <c r="G225" s="511" t="s">
        <v>280</v>
      </c>
      <c r="H225" s="495" t="s">
        <v>262</v>
      </c>
      <c r="I225" s="627">
        <f t="shared" si="348"/>
        <v>4290572</v>
      </c>
      <c r="J225" s="14">
        <v>3182917</v>
      </c>
      <c r="K225" s="14">
        <v>1075826</v>
      </c>
      <c r="L225" s="14">
        <v>31829</v>
      </c>
      <c r="M225" s="14">
        <v>0</v>
      </c>
      <c r="N225" s="121">
        <v>4.5926999999999998</v>
      </c>
      <c r="O225" s="696">
        <f t="shared" si="349"/>
        <v>-23100</v>
      </c>
      <c r="P225" s="492">
        <v>0</v>
      </c>
      <c r="Q225" s="492">
        <v>0</v>
      </c>
      <c r="R225" s="492">
        <v>0</v>
      </c>
      <c r="S225" s="492">
        <v>0</v>
      </c>
      <c r="T225" s="492">
        <v>0</v>
      </c>
      <c r="U225" s="492">
        <f>O225+P225+Q225+R225+S225+T225</f>
        <v>-23100</v>
      </c>
      <c r="V225" s="492">
        <v>23100</v>
      </c>
      <c r="W225" s="492">
        <v>0</v>
      </c>
      <c r="X225" s="492">
        <v>0</v>
      </c>
      <c r="Y225" s="492">
        <f t="shared" si="381"/>
        <v>23100</v>
      </c>
      <c r="Z225" s="492">
        <f t="shared" si="382"/>
        <v>0</v>
      </c>
      <c r="AA225" s="494">
        <f t="shared" si="383"/>
        <v>0</v>
      </c>
      <c r="AB225" s="494">
        <f t="shared" si="384"/>
        <v>-231</v>
      </c>
      <c r="AC225" s="14">
        <v>0</v>
      </c>
      <c r="AD225" s="892">
        <f t="shared" si="350"/>
        <v>-231</v>
      </c>
      <c r="AE225" s="702">
        <v>0</v>
      </c>
      <c r="AF225" s="702">
        <v>0</v>
      </c>
      <c r="AG225" s="491">
        <v>0</v>
      </c>
      <c r="AH225" s="491">
        <v>0</v>
      </c>
      <c r="AI225" s="491">
        <v>0</v>
      </c>
      <c r="AJ225" s="491">
        <v>0</v>
      </c>
      <c r="AK225" s="626">
        <f>SUM(AE225:AJ225)</f>
        <v>0</v>
      </c>
      <c r="AL225" s="696">
        <f>I225+AD225</f>
        <v>4290341</v>
      </c>
      <c r="AM225" s="492">
        <f>J225+U225</f>
        <v>3159817</v>
      </c>
      <c r="AN225" s="492">
        <f>Y225</f>
        <v>23100</v>
      </c>
      <c r="AO225" s="492">
        <f t="shared" si="385"/>
        <v>1075826</v>
      </c>
      <c r="AP225" s="492">
        <f t="shared" si="385"/>
        <v>31598</v>
      </c>
      <c r="AQ225" s="578">
        <f t="shared" si="385"/>
        <v>0</v>
      </c>
      <c r="AR225" s="626">
        <f>N225+AK225</f>
        <v>4.5926999999999998</v>
      </c>
    </row>
    <row r="226" spans="1:44" ht="14.1" customHeight="1" x14ac:dyDescent="0.2">
      <c r="A226" s="499">
        <v>57</v>
      </c>
      <c r="B226" s="512">
        <v>2449</v>
      </c>
      <c r="C226" s="513">
        <v>650029348</v>
      </c>
      <c r="D226" s="512">
        <v>72742071</v>
      </c>
      <c r="E226" s="511" t="s">
        <v>630</v>
      </c>
      <c r="F226" s="499">
        <v>3117</v>
      </c>
      <c r="G226" s="514" t="s">
        <v>278</v>
      </c>
      <c r="H226" s="495" t="s">
        <v>263</v>
      </c>
      <c r="I226" s="627">
        <f t="shared" si="348"/>
        <v>0</v>
      </c>
      <c r="J226" s="490">
        <v>0</v>
      </c>
      <c r="K226" s="14">
        <v>0</v>
      </c>
      <c r="L226" s="14">
        <v>0</v>
      </c>
      <c r="M226" s="14">
        <v>0</v>
      </c>
      <c r="N226" s="682">
        <v>0</v>
      </c>
      <c r="O226" s="696">
        <f t="shared" si="349"/>
        <v>0</v>
      </c>
      <c r="P226" s="492">
        <v>0</v>
      </c>
      <c r="Q226" s="492">
        <v>0</v>
      </c>
      <c r="R226" s="492">
        <v>0</v>
      </c>
      <c r="S226" s="492">
        <v>0</v>
      </c>
      <c r="T226" s="492">
        <v>0</v>
      </c>
      <c r="U226" s="492">
        <f>O226+P226+Q226+R226+S226+T226</f>
        <v>0</v>
      </c>
      <c r="V226" s="492">
        <v>0</v>
      </c>
      <c r="W226" s="492">
        <v>0</v>
      </c>
      <c r="X226" s="492">
        <v>0</v>
      </c>
      <c r="Y226" s="492">
        <f t="shared" si="381"/>
        <v>0</v>
      </c>
      <c r="Z226" s="492">
        <f t="shared" si="382"/>
        <v>0</v>
      </c>
      <c r="AA226" s="494">
        <f t="shared" si="383"/>
        <v>0</v>
      </c>
      <c r="AB226" s="494">
        <f t="shared" si="384"/>
        <v>0</v>
      </c>
      <c r="AC226" s="14">
        <v>0</v>
      </c>
      <c r="AD226" s="892">
        <f t="shared" si="350"/>
        <v>0</v>
      </c>
      <c r="AE226" s="702">
        <v>0</v>
      </c>
      <c r="AF226" s="702">
        <v>0</v>
      </c>
      <c r="AG226" s="491">
        <v>0</v>
      </c>
      <c r="AH226" s="491">
        <v>0</v>
      </c>
      <c r="AI226" s="491">
        <v>0</v>
      </c>
      <c r="AJ226" s="491">
        <v>0</v>
      </c>
      <c r="AK226" s="626">
        <f>SUM(AE226:AJ226)</f>
        <v>0</v>
      </c>
      <c r="AL226" s="696">
        <f>I226+AD226</f>
        <v>0</v>
      </c>
      <c r="AM226" s="492">
        <f>J226+U226</f>
        <v>0</v>
      </c>
      <c r="AN226" s="492">
        <f>Y226</f>
        <v>0</v>
      </c>
      <c r="AO226" s="492">
        <f t="shared" si="385"/>
        <v>0</v>
      </c>
      <c r="AP226" s="492">
        <f t="shared" si="385"/>
        <v>0</v>
      </c>
      <c r="AQ226" s="578">
        <f t="shared" si="385"/>
        <v>0</v>
      </c>
      <c r="AR226" s="626">
        <f>N226+AK226</f>
        <v>0</v>
      </c>
    </row>
    <row r="227" spans="1:44" ht="14.1" customHeight="1" x14ac:dyDescent="0.2">
      <c r="A227" s="499">
        <v>57</v>
      </c>
      <c r="B227" s="512">
        <v>2449</v>
      </c>
      <c r="C227" s="513">
        <v>650029348</v>
      </c>
      <c r="D227" s="512">
        <v>72742071</v>
      </c>
      <c r="E227" s="511" t="s">
        <v>630</v>
      </c>
      <c r="F227" s="499">
        <v>3143</v>
      </c>
      <c r="G227" s="514" t="s">
        <v>794</v>
      </c>
      <c r="H227" s="495" t="s">
        <v>262</v>
      </c>
      <c r="I227" s="627">
        <f t="shared" si="348"/>
        <v>786422</v>
      </c>
      <c r="J227" s="14">
        <v>583399</v>
      </c>
      <c r="K227" s="14">
        <v>197189</v>
      </c>
      <c r="L227" s="14">
        <v>5834</v>
      </c>
      <c r="M227" s="14">
        <v>0</v>
      </c>
      <c r="N227" s="121">
        <v>1</v>
      </c>
      <c r="O227" s="696">
        <f t="shared" si="349"/>
        <v>0</v>
      </c>
      <c r="P227" s="492">
        <v>0</v>
      </c>
      <c r="Q227" s="492">
        <v>0</v>
      </c>
      <c r="R227" s="492">
        <v>0</v>
      </c>
      <c r="S227" s="492">
        <v>0</v>
      </c>
      <c r="T227" s="492">
        <v>0</v>
      </c>
      <c r="U227" s="492">
        <f>O227+P227+Q227+R227+S227+T227</f>
        <v>0</v>
      </c>
      <c r="V227" s="492">
        <v>0</v>
      </c>
      <c r="W227" s="492">
        <v>0</v>
      </c>
      <c r="X227" s="492">
        <v>0</v>
      </c>
      <c r="Y227" s="492">
        <f t="shared" si="381"/>
        <v>0</v>
      </c>
      <c r="Z227" s="492">
        <f t="shared" si="382"/>
        <v>0</v>
      </c>
      <c r="AA227" s="494">
        <f t="shared" si="383"/>
        <v>0</v>
      </c>
      <c r="AB227" s="494">
        <f t="shared" si="384"/>
        <v>0</v>
      </c>
      <c r="AC227" s="14">
        <v>0</v>
      </c>
      <c r="AD227" s="892">
        <f t="shared" si="350"/>
        <v>0</v>
      </c>
      <c r="AE227" s="702">
        <v>0</v>
      </c>
      <c r="AF227" s="702">
        <v>0</v>
      </c>
      <c r="AG227" s="491">
        <v>0</v>
      </c>
      <c r="AH227" s="491">
        <v>0</v>
      </c>
      <c r="AI227" s="491">
        <v>0</v>
      </c>
      <c r="AJ227" s="491">
        <v>0</v>
      </c>
      <c r="AK227" s="626">
        <f>SUM(AE227:AJ227)</f>
        <v>0</v>
      </c>
      <c r="AL227" s="696">
        <f>I227+AD227</f>
        <v>786422</v>
      </c>
      <c r="AM227" s="492">
        <f>J227+U227</f>
        <v>583399</v>
      </c>
      <c r="AN227" s="492">
        <f>Y227</f>
        <v>0</v>
      </c>
      <c r="AO227" s="492">
        <f t="shared" si="385"/>
        <v>197189</v>
      </c>
      <c r="AP227" s="492">
        <f t="shared" si="385"/>
        <v>5834</v>
      </c>
      <c r="AQ227" s="578">
        <f t="shared" si="385"/>
        <v>0</v>
      </c>
      <c r="AR227" s="626">
        <f>N227+AK227</f>
        <v>1</v>
      </c>
    </row>
    <row r="228" spans="1:44" ht="14.1" customHeight="1" x14ac:dyDescent="0.2">
      <c r="A228" s="510">
        <v>57</v>
      </c>
      <c r="B228" s="508">
        <v>2449</v>
      </c>
      <c r="C228" s="509">
        <v>650029348</v>
      </c>
      <c r="D228" s="508">
        <v>72742071</v>
      </c>
      <c r="E228" s="506" t="s">
        <v>631</v>
      </c>
      <c r="F228" s="510"/>
      <c r="G228" s="506"/>
      <c r="H228" s="505"/>
      <c r="I228" s="629">
        <f t="shared" ref="I228:AR228" si="386">SUM(I224:I227)</f>
        <v>8193878</v>
      </c>
      <c r="J228" s="504">
        <f t="shared" si="386"/>
        <v>6078545</v>
      </c>
      <c r="K228" s="504">
        <f t="shared" si="386"/>
        <v>2054548</v>
      </c>
      <c r="L228" s="504">
        <f t="shared" si="386"/>
        <v>60785</v>
      </c>
      <c r="M228" s="504">
        <f t="shared" si="386"/>
        <v>0</v>
      </c>
      <c r="N228" s="885">
        <f t="shared" si="386"/>
        <v>9.5927000000000007</v>
      </c>
      <c r="O228" s="629">
        <f t="shared" si="386"/>
        <v>-23100</v>
      </c>
      <c r="P228" s="503">
        <f t="shared" si="386"/>
        <v>0</v>
      </c>
      <c r="Q228" s="503">
        <f t="shared" si="386"/>
        <v>0</v>
      </c>
      <c r="R228" s="503">
        <f t="shared" si="386"/>
        <v>0</v>
      </c>
      <c r="S228" s="503">
        <f t="shared" si="386"/>
        <v>0</v>
      </c>
      <c r="T228" s="503">
        <f t="shared" si="386"/>
        <v>0</v>
      </c>
      <c r="U228" s="503">
        <f t="shared" si="386"/>
        <v>-23100</v>
      </c>
      <c r="V228" s="503">
        <f t="shared" si="386"/>
        <v>23100</v>
      </c>
      <c r="W228" s="503">
        <f t="shared" si="386"/>
        <v>0</v>
      </c>
      <c r="X228" s="503">
        <f t="shared" si="386"/>
        <v>0</v>
      </c>
      <c r="Y228" s="503">
        <f t="shared" si="386"/>
        <v>23100</v>
      </c>
      <c r="Z228" s="503">
        <f t="shared" si="386"/>
        <v>0</v>
      </c>
      <c r="AA228" s="503">
        <f t="shared" si="386"/>
        <v>0</v>
      </c>
      <c r="AB228" s="503">
        <f t="shared" si="386"/>
        <v>-231</v>
      </c>
      <c r="AC228" s="503">
        <f t="shared" si="386"/>
        <v>0</v>
      </c>
      <c r="AD228" s="891">
        <f t="shared" si="386"/>
        <v>-231</v>
      </c>
      <c r="AE228" s="701">
        <f t="shared" si="386"/>
        <v>0</v>
      </c>
      <c r="AF228" s="701">
        <f t="shared" si="386"/>
        <v>0</v>
      </c>
      <c r="AG228" s="502">
        <f t="shared" si="386"/>
        <v>0</v>
      </c>
      <c r="AH228" s="502">
        <f t="shared" si="386"/>
        <v>0</v>
      </c>
      <c r="AI228" s="502">
        <f t="shared" si="386"/>
        <v>0</v>
      </c>
      <c r="AJ228" s="502">
        <f t="shared" si="386"/>
        <v>0</v>
      </c>
      <c r="AK228" s="630">
        <f t="shared" si="386"/>
        <v>0</v>
      </c>
      <c r="AL228" s="629">
        <f t="shared" si="386"/>
        <v>8193647</v>
      </c>
      <c r="AM228" s="503">
        <f t="shared" si="386"/>
        <v>6055445</v>
      </c>
      <c r="AN228" s="552">
        <f t="shared" si="386"/>
        <v>23100</v>
      </c>
      <c r="AO228" s="503">
        <f t="shared" si="386"/>
        <v>2054548</v>
      </c>
      <c r="AP228" s="503">
        <f t="shared" si="386"/>
        <v>60554</v>
      </c>
      <c r="AQ228" s="503">
        <f t="shared" si="386"/>
        <v>0</v>
      </c>
      <c r="AR228" s="630">
        <f t="shared" si="386"/>
        <v>9.5927000000000007</v>
      </c>
    </row>
    <row r="229" spans="1:44" ht="14.1" customHeight="1" x14ac:dyDescent="0.2">
      <c r="A229" s="499">
        <v>58</v>
      </c>
      <c r="B229" s="512">
        <v>2318</v>
      </c>
      <c r="C229" s="513">
        <v>600079546</v>
      </c>
      <c r="D229" s="512">
        <v>70695253</v>
      </c>
      <c r="E229" s="511" t="s">
        <v>632</v>
      </c>
      <c r="F229" s="499">
        <v>3111</v>
      </c>
      <c r="G229" s="511" t="s">
        <v>277</v>
      </c>
      <c r="H229" s="495" t="s">
        <v>262</v>
      </c>
      <c r="I229" s="627">
        <f t="shared" si="348"/>
        <v>7058466</v>
      </c>
      <c r="J229" s="14">
        <v>5236251</v>
      </c>
      <c r="K229" s="14">
        <v>1769852</v>
      </c>
      <c r="L229" s="14">
        <v>52363</v>
      </c>
      <c r="M229" s="14">
        <v>0</v>
      </c>
      <c r="N229" s="121">
        <v>9</v>
      </c>
      <c r="O229" s="696">
        <f t="shared" si="349"/>
        <v>-40000</v>
      </c>
      <c r="P229" s="492">
        <v>0</v>
      </c>
      <c r="Q229" s="492">
        <v>0</v>
      </c>
      <c r="R229" s="492">
        <v>0</v>
      </c>
      <c r="S229" s="492">
        <v>0</v>
      </c>
      <c r="T229" s="492">
        <v>0</v>
      </c>
      <c r="U229" s="492">
        <f>O229+P229+Q229+R229+S229+T229</f>
        <v>-40000</v>
      </c>
      <c r="V229" s="492">
        <v>40000</v>
      </c>
      <c r="W229" s="492">
        <v>0</v>
      </c>
      <c r="X229" s="492">
        <v>0</v>
      </c>
      <c r="Y229" s="492">
        <f t="shared" ref="Y229:Y231" si="387">V229+W229+X229</f>
        <v>40000</v>
      </c>
      <c r="Z229" s="492">
        <f t="shared" ref="Z229:Z231" si="388">U229+Y229</f>
        <v>0</v>
      </c>
      <c r="AA229" s="494">
        <f t="shared" ref="AA229:AA231" si="389">ROUND((U229+Y229)*33.8%,0)</f>
        <v>0</v>
      </c>
      <c r="AB229" s="494">
        <f>ROUND(U229*1%,0)</f>
        <v>-400</v>
      </c>
      <c r="AC229" s="14">
        <v>0</v>
      </c>
      <c r="AD229" s="892">
        <f t="shared" si="350"/>
        <v>-400</v>
      </c>
      <c r="AE229" s="702">
        <v>0</v>
      </c>
      <c r="AF229" s="702">
        <v>0</v>
      </c>
      <c r="AG229" s="491">
        <v>0</v>
      </c>
      <c r="AH229" s="491">
        <v>0</v>
      </c>
      <c r="AI229" s="491">
        <v>0</v>
      </c>
      <c r="AJ229" s="491">
        <v>0</v>
      </c>
      <c r="AK229" s="626">
        <f>SUM(AE229:AJ229)</f>
        <v>0</v>
      </c>
      <c r="AL229" s="696">
        <f>I229+AD229</f>
        <v>7058066</v>
      </c>
      <c r="AM229" s="492">
        <f>J229+U229</f>
        <v>5196251</v>
      </c>
      <c r="AN229" s="492">
        <f>Y229</f>
        <v>40000</v>
      </c>
      <c r="AO229" s="492">
        <f t="shared" ref="AO229:AQ231" si="390">K229+AA229</f>
        <v>1769852</v>
      </c>
      <c r="AP229" s="492">
        <f t="shared" si="390"/>
        <v>51963</v>
      </c>
      <c r="AQ229" s="578">
        <f t="shared" si="390"/>
        <v>0</v>
      </c>
      <c r="AR229" s="626">
        <f>N229+AK229</f>
        <v>9</v>
      </c>
    </row>
    <row r="230" spans="1:44" ht="14.1" customHeight="1" x14ac:dyDescent="0.2">
      <c r="A230" s="499">
        <v>58</v>
      </c>
      <c r="B230" s="512">
        <v>2318</v>
      </c>
      <c r="C230" s="513">
        <v>600079546</v>
      </c>
      <c r="D230" s="512">
        <v>70695253</v>
      </c>
      <c r="E230" s="511" t="s">
        <v>632</v>
      </c>
      <c r="F230" s="499">
        <v>3111</v>
      </c>
      <c r="G230" s="39" t="s">
        <v>279</v>
      </c>
      <c r="H230" s="495" t="s">
        <v>262</v>
      </c>
      <c r="I230" s="627">
        <f t="shared" si="348"/>
        <v>533954</v>
      </c>
      <c r="J230" s="14">
        <v>396108</v>
      </c>
      <c r="K230" s="14">
        <v>133885</v>
      </c>
      <c r="L230" s="14">
        <v>3961</v>
      </c>
      <c r="M230" s="14">
        <v>0</v>
      </c>
      <c r="N230" s="121">
        <v>1</v>
      </c>
      <c r="O230" s="696">
        <f t="shared" si="349"/>
        <v>0</v>
      </c>
      <c r="P230" s="492">
        <v>0</v>
      </c>
      <c r="Q230" s="492">
        <v>0</v>
      </c>
      <c r="R230" s="492">
        <v>0</v>
      </c>
      <c r="S230" s="492">
        <v>0</v>
      </c>
      <c r="T230" s="492">
        <v>0</v>
      </c>
      <c r="U230" s="492">
        <f>O230+P230+Q230+R230+S230+T230</f>
        <v>0</v>
      </c>
      <c r="V230" s="492">
        <v>0</v>
      </c>
      <c r="W230" s="492">
        <v>0</v>
      </c>
      <c r="X230" s="492">
        <v>0</v>
      </c>
      <c r="Y230" s="492">
        <f t="shared" si="387"/>
        <v>0</v>
      </c>
      <c r="Z230" s="492">
        <f t="shared" si="388"/>
        <v>0</v>
      </c>
      <c r="AA230" s="494">
        <f t="shared" si="389"/>
        <v>0</v>
      </c>
      <c r="AB230" s="494">
        <f>ROUND(U230*1%,0)</f>
        <v>0</v>
      </c>
      <c r="AC230" s="14">
        <v>0</v>
      </c>
      <c r="AD230" s="892">
        <f t="shared" si="350"/>
        <v>0</v>
      </c>
      <c r="AE230" s="702">
        <v>0</v>
      </c>
      <c r="AF230" s="702">
        <v>0</v>
      </c>
      <c r="AG230" s="491">
        <v>0</v>
      </c>
      <c r="AH230" s="491">
        <v>0</v>
      </c>
      <c r="AI230" s="491">
        <v>0</v>
      </c>
      <c r="AJ230" s="491">
        <v>0</v>
      </c>
      <c r="AK230" s="626">
        <f>SUM(AE230:AJ230)</f>
        <v>0</v>
      </c>
      <c r="AL230" s="696">
        <f>I230+AD230</f>
        <v>533954</v>
      </c>
      <c r="AM230" s="492">
        <f>J230+U230</f>
        <v>396108</v>
      </c>
      <c r="AN230" s="492">
        <f>Y230</f>
        <v>0</v>
      </c>
      <c r="AO230" s="492">
        <f t="shared" si="390"/>
        <v>133885</v>
      </c>
      <c r="AP230" s="492">
        <f t="shared" si="390"/>
        <v>3961</v>
      </c>
      <c r="AQ230" s="578">
        <f t="shared" si="390"/>
        <v>0</v>
      </c>
      <c r="AR230" s="626">
        <f>N230+AK230</f>
        <v>1</v>
      </c>
    </row>
    <row r="231" spans="1:44" ht="14.1" customHeight="1" x14ac:dyDescent="0.2">
      <c r="A231" s="499">
        <v>58</v>
      </c>
      <c r="B231" s="512">
        <v>2318</v>
      </c>
      <c r="C231" s="513">
        <v>600079546</v>
      </c>
      <c r="D231" s="512">
        <v>70695253</v>
      </c>
      <c r="E231" s="511" t="s">
        <v>632</v>
      </c>
      <c r="F231" s="499">
        <v>3111</v>
      </c>
      <c r="G231" s="514" t="s">
        <v>278</v>
      </c>
      <c r="H231" s="495" t="s">
        <v>263</v>
      </c>
      <c r="I231" s="627">
        <f t="shared" si="348"/>
        <v>0</v>
      </c>
      <c r="J231" s="490">
        <v>0</v>
      </c>
      <c r="K231" s="14">
        <v>0</v>
      </c>
      <c r="L231" s="14">
        <v>0</v>
      </c>
      <c r="M231" s="14">
        <v>0</v>
      </c>
      <c r="N231" s="682">
        <v>0</v>
      </c>
      <c r="O231" s="696">
        <f t="shared" si="349"/>
        <v>0</v>
      </c>
      <c r="P231" s="490">
        <v>396847</v>
      </c>
      <c r="Q231" s="492">
        <v>0</v>
      </c>
      <c r="R231" s="492">
        <v>0</v>
      </c>
      <c r="S231" s="492">
        <v>0</v>
      </c>
      <c r="T231" s="492">
        <v>0</v>
      </c>
      <c r="U231" s="492">
        <f>O231+P231+Q231+R231+S231+T231</f>
        <v>396847</v>
      </c>
      <c r="V231" s="492">
        <v>0</v>
      </c>
      <c r="W231" s="492">
        <v>0</v>
      </c>
      <c r="X231" s="492">
        <v>0</v>
      </c>
      <c r="Y231" s="492">
        <f t="shared" si="387"/>
        <v>0</v>
      </c>
      <c r="Z231" s="492">
        <f t="shared" si="388"/>
        <v>396847</v>
      </c>
      <c r="AA231" s="494">
        <f t="shared" si="389"/>
        <v>134134</v>
      </c>
      <c r="AB231" s="494">
        <f>ROUND(U231*1%,0)</f>
        <v>3968</v>
      </c>
      <c r="AC231" s="14">
        <v>0</v>
      </c>
      <c r="AD231" s="892">
        <f t="shared" si="350"/>
        <v>534949</v>
      </c>
      <c r="AE231" s="702">
        <v>0</v>
      </c>
      <c r="AF231" s="121">
        <v>1</v>
      </c>
      <c r="AG231" s="491">
        <v>0</v>
      </c>
      <c r="AH231" s="491">
        <v>0</v>
      </c>
      <c r="AI231" s="491">
        <v>0</v>
      </c>
      <c r="AJ231" s="491">
        <v>0</v>
      </c>
      <c r="AK231" s="626">
        <f>SUM(AE231:AJ231)</f>
        <v>1</v>
      </c>
      <c r="AL231" s="696">
        <f>I231+AD231</f>
        <v>534949</v>
      </c>
      <c r="AM231" s="492">
        <f>J231+U231</f>
        <v>396847</v>
      </c>
      <c r="AN231" s="492">
        <f>Y231</f>
        <v>0</v>
      </c>
      <c r="AO231" s="492">
        <f t="shared" si="390"/>
        <v>134134</v>
      </c>
      <c r="AP231" s="492">
        <f t="shared" si="390"/>
        <v>3968</v>
      </c>
      <c r="AQ231" s="578">
        <f t="shared" si="390"/>
        <v>0</v>
      </c>
      <c r="AR231" s="626">
        <f>N231+AK231</f>
        <v>1</v>
      </c>
    </row>
    <row r="232" spans="1:44" ht="14.1" customHeight="1" x14ac:dyDescent="0.2">
      <c r="A232" s="510">
        <v>58</v>
      </c>
      <c r="B232" s="508">
        <v>2318</v>
      </c>
      <c r="C232" s="509">
        <v>600079546</v>
      </c>
      <c r="D232" s="508">
        <v>70695253</v>
      </c>
      <c r="E232" s="506" t="s">
        <v>633</v>
      </c>
      <c r="F232" s="510"/>
      <c r="G232" s="506"/>
      <c r="H232" s="505"/>
      <c r="I232" s="629">
        <f t="shared" ref="I232:N232" si="391">SUM(I229:I231)</f>
        <v>7592420</v>
      </c>
      <c r="J232" s="504">
        <f t="shared" si="391"/>
        <v>5632359</v>
      </c>
      <c r="K232" s="504">
        <f t="shared" si="391"/>
        <v>1903737</v>
      </c>
      <c r="L232" s="504">
        <f t="shared" si="391"/>
        <v>56324</v>
      </c>
      <c r="M232" s="504">
        <f t="shared" si="391"/>
        <v>0</v>
      </c>
      <c r="N232" s="885">
        <f t="shared" si="391"/>
        <v>10</v>
      </c>
      <c r="O232" s="629">
        <f t="shared" ref="O232:AR232" si="392">SUM(O229:O231)</f>
        <v>-40000</v>
      </c>
      <c r="P232" s="503">
        <f t="shared" si="392"/>
        <v>396847</v>
      </c>
      <c r="Q232" s="503">
        <f t="shared" si="392"/>
        <v>0</v>
      </c>
      <c r="R232" s="503">
        <f t="shared" si="392"/>
        <v>0</v>
      </c>
      <c r="S232" s="503">
        <f t="shared" si="392"/>
        <v>0</v>
      </c>
      <c r="T232" s="503">
        <f t="shared" si="392"/>
        <v>0</v>
      </c>
      <c r="U232" s="503">
        <f t="shared" si="392"/>
        <v>356847</v>
      </c>
      <c r="V232" s="503">
        <f t="shared" si="392"/>
        <v>40000</v>
      </c>
      <c r="W232" s="503">
        <f t="shared" si="392"/>
        <v>0</v>
      </c>
      <c r="X232" s="503">
        <f t="shared" si="392"/>
        <v>0</v>
      </c>
      <c r="Y232" s="503">
        <f t="shared" si="392"/>
        <v>40000</v>
      </c>
      <c r="Z232" s="503">
        <f t="shared" si="392"/>
        <v>396847</v>
      </c>
      <c r="AA232" s="503">
        <f t="shared" si="392"/>
        <v>134134</v>
      </c>
      <c r="AB232" s="503">
        <f t="shared" si="392"/>
        <v>3568</v>
      </c>
      <c r="AC232" s="503">
        <f t="shared" si="392"/>
        <v>0</v>
      </c>
      <c r="AD232" s="891">
        <f t="shared" si="392"/>
        <v>534549</v>
      </c>
      <c r="AE232" s="701">
        <f t="shared" si="392"/>
        <v>0</v>
      </c>
      <c r="AF232" s="701">
        <f t="shared" si="392"/>
        <v>1</v>
      </c>
      <c r="AG232" s="502">
        <f t="shared" si="392"/>
        <v>0</v>
      </c>
      <c r="AH232" s="502">
        <f t="shared" si="392"/>
        <v>0</v>
      </c>
      <c r="AI232" s="502">
        <f t="shared" si="392"/>
        <v>0</v>
      </c>
      <c r="AJ232" s="502">
        <f t="shared" si="392"/>
        <v>0</v>
      </c>
      <c r="AK232" s="630">
        <f t="shared" si="392"/>
        <v>1</v>
      </c>
      <c r="AL232" s="629">
        <f t="shared" si="392"/>
        <v>8126969</v>
      </c>
      <c r="AM232" s="503">
        <f t="shared" si="392"/>
        <v>5989206</v>
      </c>
      <c r="AN232" s="552">
        <f t="shared" si="392"/>
        <v>40000</v>
      </c>
      <c r="AO232" s="503">
        <f t="shared" si="392"/>
        <v>2037871</v>
      </c>
      <c r="AP232" s="503">
        <f t="shared" si="392"/>
        <v>59892</v>
      </c>
      <c r="AQ232" s="503">
        <f t="shared" si="392"/>
        <v>0</v>
      </c>
      <c r="AR232" s="630">
        <f t="shared" si="392"/>
        <v>11</v>
      </c>
    </row>
    <row r="233" spans="1:44" ht="14.1" customHeight="1" x14ac:dyDescent="0.2">
      <c r="A233" s="499">
        <v>59</v>
      </c>
      <c r="B233" s="512">
        <v>2452</v>
      </c>
      <c r="C233" s="513">
        <v>600079660</v>
      </c>
      <c r="D233" s="512">
        <v>70695261</v>
      </c>
      <c r="E233" s="511" t="s">
        <v>634</v>
      </c>
      <c r="F233" s="499">
        <v>3113</v>
      </c>
      <c r="G233" s="511" t="s">
        <v>280</v>
      </c>
      <c r="H233" s="495" t="s">
        <v>262</v>
      </c>
      <c r="I233" s="627">
        <f t="shared" si="348"/>
        <v>33479142</v>
      </c>
      <c r="J233" s="14">
        <v>24836158</v>
      </c>
      <c r="K233" s="14">
        <v>8394622</v>
      </c>
      <c r="L233" s="14">
        <v>248362</v>
      </c>
      <c r="M233" s="14">
        <v>0</v>
      </c>
      <c r="N233" s="121">
        <v>33.863700000000001</v>
      </c>
      <c r="O233" s="696">
        <f t="shared" si="349"/>
        <v>-70000</v>
      </c>
      <c r="P233" s="492">
        <v>0</v>
      </c>
      <c r="Q233" s="492">
        <v>97300</v>
      </c>
      <c r="R233" s="492">
        <v>0</v>
      </c>
      <c r="S233" s="492">
        <v>0</v>
      </c>
      <c r="T233" s="492">
        <v>0</v>
      </c>
      <c r="U233" s="492">
        <f t="shared" ref="U233:U238" si="393">O233+P233+Q233+R233+S233+T233</f>
        <v>27300</v>
      </c>
      <c r="V233" s="492">
        <v>70000</v>
      </c>
      <c r="W233" s="492">
        <v>0</v>
      </c>
      <c r="X233" s="492">
        <v>0</v>
      </c>
      <c r="Y233" s="492">
        <f t="shared" ref="Y233:Y238" si="394">V233+W233+X233</f>
        <v>70000</v>
      </c>
      <c r="Z233" s="492">
        <f t="shared" ref="Z233:Z238" si="395">U233+Y233</f>
        <v>97300</v>
      </c>
      <c r="AA233" s="494">
        <f t="shared" ref="AA233:AA238" si="396">ROUND((U233+Y233)*33.8%,0)</f>
        <v>32887</v>
      </c>
      <c r="AB233" s="494">
        <f t="shared" ref="AB233:AB238" si="397">ROUND(U233*1%,0)</f>
        <v>273</v>
      </c>
      <c r="AC233" s="14">
        <v>0</v>
      </c>
      <c r="AD233" s="892">
        <f t="shared" si="350"/>
        <v>130460</v>
      </c>
      <c r="AE233" s="702">
        <v>-0.1</v>
      </c>
      <c r="AF233" s="702">
        <v>0</v>
      </c>
      <c r="AG233" s="491">
        <v>0</v>
      </c>
      <c r="AH233" s="491">
        <v>0.14000000000000001</v>
      </c>
      <c r="AI233" s="491">
        <v>0</v>
      </c>
      <c r="AJ233" s="491">
        <v>0</v>
      </c>
      <c r="AK233" s="626">
        <f t="shared" ref="AK233:AK238" si="398">SUM(AE233:AJ233)</f>
        <v>4.0000000000000008E-2</v>
      </c>
      <c r="AL233" s="696">
        <f t="shared" ref="AL233:AL238" si="399">I233+AD233</f>
        <v>33609602</v>
      </c>
      <c r="AM233" s="492">
        <f t="shared" ref="AM233:AM238" si="400">J233+U233</f>
        <v>24863458</v>
      </c>
      <c r="AN233" s="492">
        <f t="shared" ref="AN233:AN238" si="401">Y233</f>
        <v>70000</v>
      </c>
      <c r="AO233" s="492">
        <f t="shared" ref="AO233:AQ238" si="402">K233+AA233</f>
        <v>8427509</v>
      </c>
      <c r="AP233" s="492">
        <f t="shared" si="402"/>
        <v>248635</v>
      </c>
      <c r="AQ233" s="578">
        <f t="shared" si="402"/>
        <v>0</v>
      </c>
      <c r="AR233" s="626">
        <f t="shared" ref="AR233:AR238" si="403">N233+AK233</f>
        <v>33.903700000000001</v>
      </c>
    </row>
    <row r="234" spans="1:44" ht="14.1" customHeight="1" x14ac:dyDescent="0.2">
      <c r="A234" s="499">
        <v>59</v>
      </c>
      <c r="B234" s="512">
        <v>2452</v>
      </c>
      <c r="C234" s="513">
        <v>600079660</v>
      </c>
      <c r="D234" s="512">
        <v>70695261</v>
      </c>
      <c r="E234" s="511" t="s">
        <v>634</v>
      </c>
      <c r="F234" s="499">
        <v>3113</v>
      </c>
      <c r="G234" s="39" t="s">
        <v>279</v>
      </c>
      <c r="H234" s="495" t="s">
        <v>262</v>
      </c>
      <c r="I234" s="627">
        <f t="shared" si="348"/>
        <v>1542849</v>
      </c>
      <c r="J234" s="14">
        <v>1144547</v>
      </c>
      <c r="K234" s="14">
        <v>386857</v>
      </c>
      <c r="L234" s="14">
        <v>11445</v>
      </c>
      <c r="M234" s="14">
        <v>0</v>
      </c>
      <c r="N234" s="121">
        <v>3.0556000000000001</v>
      </c>
      <c r="O234" s="696">
        <f t="shared" si="349"/>
        <v>0</v>
      </c>
      <c r="P234" s="492">
        <v>0</v>
      </c>
      <c r="Q234" s="492">
        <v>0</v>
      </c>
      <c r="R234" s="492">
        <v>0</v>
      </c>
      <c r="S234" s="492">
        <v>0</v>
      </c>
      <c r="T234" s="492">
        <v>0</v>
      </c>
      <c r="U234" s="492">
        <f t="shared" si="393"/>
        <v>0</v>
      </c>
      <c r="V234" s="492">
        <v>0</v>
      </c>
      <c r="W234" s="492">
        <v>0</v>
      </c>
      <c r="X234" s="492">
        <v>0</v>
      </c>
      <c r="Y234" s="492">
        <f t="shared" si="394"/>
        <v>0</v>
      </c>
      <c r="Z234" s="492">
        <f t="shared" si="395"/>
        <v>0</v>
      </c>
      <c r="AA234" s="494">
        <f t="shared" si="396"/>
        <v>0</v>
      </c>
      <c r="AB234" s="494">
        <f t="shared" si="397"/>
        <v>0</v>
      </c>
      <c r="AC234" s="14">
        <v>0</v>
      </c>
      <c r="AD234" s="892">
        <f t="shared" si="350"/>
        <v>0</v>
      </c>
      <c r="AE234" s="702">
        <v>0</v>
      </c>
      <c r="AF234" s="702">
        <v>0</v>
      </c>
      <c r="AG234" s="491">
        <v>0</v>
      </c>
      <c r="AH234" s="491">
        <v>0</v>
      </c>
      <c r="AI234" s="491">
        <v>0</v>
      </c>
      <c r="AJ234" s="491">
        <v>0</v>
      </c>
      <c r="AK234" s="626">
        <f t="shared" si="398"/>
        <v>0</v>
      </c>
      <c r="AL234" s="696">
        <f t="shared" si="399"/>
        <v>1542849</v>
      </c>
      <c r="AM234" s="492">
        <f t="shared" si="400"/>
        <v>1144547</v>
      </c>
      <c r="AN234" s="492">
        <f t="shared" si="401"/>
        <v>0</v>
      </c>
      <c r="AO234" s="492">
        <f t="shared" si="402"/>
        <v>386857</v>
      </c>
      <c r="AP234" s="492">
        <f t="shared" si="402"/>
        <v>11445</v>
      </c>
      <c r="AQ234" s="578">
        <f t="shared" si="402"/>
        <v>0</v>
      </c>
      <c r="AR234" s="626">
        <f t="shared" si="403"/>
        <v>3.0556000000000001</v>
      </c>
    </row>
    <row r="235" spans="1:44" ht="14.1" customHeight="1" x14ac:dyDescent="0.2">
      <c r="A235" s="499">
        <v>59</v>
      </c>
      <c r="B235" s="512">
        <v>2452</v>
      </c>
      <c r="C235" s="513">
        <v>600079660</v>
      </c>
      <c r="D235" s="512">
        <v>70695261</v>
      </c>
      <c r="E235" s="511" t="s">
        <v>634</v>
      </c>
      <c r="F235" s="499">
        <v>3113</v>
      </c>
      <c r="G235" s="39" t="s">
        <v>799</v>
      </c>
      <c r="H235" s="495" t="s">
        <v>262</v>
      </c>
      <c r="I235" s="627">
        <f t="shared" si="348"/>
        <v>0</v>
      </c>
      <c r="J235" s="490">
        <v>0</v>
      </c>
      <c r="K235" s="14">
        <v>0</v>
      </c>
      <c r="L235" s="14">
        <v>0</v>
      </c>
      <c r="M235" s="14">
        <v>0</v>
      </c>
      <c r="N235" s="682">
        <v>0</v>
      </c>
      <c r="O235" s="696">
        <f t="shared" si="349"/>
        <v>0</v>
      </c>
      <c r="P235" s="492">
        <v>0</v>
      </c>
      <c r="Q235" s="492">
        <v>0</v>
      </c>
      <c r="R235" s="492">
        <v>181776</v>
      </c>
      <c r="S235" s="492">
        <v>0</v>
      </c>
      <c r="T235" s="492">
        <v>0</v>
      </c>
      <c r="U235" s="492">
        <f t="shared" si="393"/>
        <v>181776</v>
      </c>
      <c r="V235" s="492">
        <v>0</v>
      </c>
      <c r="W235" s="492">
        <v>0</v>
      </c>
      <c r="X235" s="492">
        <v>0</v>
      </c>
      <c r="Y235" s="492">
        <f t="shared" ref="Y235" si="404">V235+W235+X235</f>
        <v>0</v>
      </c>
      <c r="Z235" s="492">
        <f t="shared" ref="Z235" si="405">U235+Y235</f>
        <v>181776</v>
      </c>
      <c r="AA235" s="494">
        <f t="shared" ref="AA235" si="406">ROUND((U235+Y235)*33.8%,0)</f>
        <v>61440</v>
      </c>
      <c r="AB235" s="494">
        <f t="shared" ref="AB235" si="407">ROUND(U235*1%,0)</f>
        <v>1818</v>
      </c>
      <c r="AC235" s="14">
        <v>0</v>
      </c>
      <c r="AD235" s="892">
        <f t="shared" si="350"/>
        <v>245034</v>
      </c>
      <c r="AE235" s="702">
        <v>0</v>
      </c>
      <c r="AF235" s="703">
        <v>0</v>
      </c>
      <c r="AG235" s="491">
        <v>0.33</v>
      </c>
      <c r="AH235" s="491">
        <v>0</v>
      </c>
      <c r="AI235" s="491">
        <v>0</v>
      </c>
      <c r="AJ235" s="491">
        <v>0</v>
      </c>
      <c r="AK235" s="626">
        <f t="shared" si="398"/>
        <v>0.33</v>
      </c>
      <c r="AL235" s="696">
        <f t="shared" si="399"/>
        <v>245034</v>
      </c>
      <c r="AM235" s="492">
        <f t="shared" si="400"/>
        <v>181776</v>
      </c>
      <c r="AN235" s="492">
        <f t="shared" si="401"/>
        <v>0</v>
      </c>
      <c r="AO235" s="492">
        <f t="shared" si="402"/>
        <v>61440</v>
      </c>
      <c r="AP235" s="492">
        <f t="shared" si="402"/>
        <v>1818</v>
      </c>
      <c r="AQ235" s="578">
        <f t="shared" si="402"/>
        <v>0</v>
      </c>
      <c r="AR235" s="626">
        <f t="shared" si="403"/>
        <v>0.33</v>
      </c>
    </row>
    <row r="236" spans="1:44" ht="14.1" customHeight="1" x14ac:dyDescent="0.2">
      <c r="A236" s="499">
        <v>59</v>
      </c>
      <c r="B236" s="512">
        <v>2452</v>
      </c>
      <c r="C236" s="513">
        <v>600079660</v>
      </c>
      <c r="D236" s="512">
        <v>70695261</v>
      </c>
      <c r="E236" s="511" t="s">
        <v>634</v>
      </c>
      <c r="F236" s="499">
        <v>3113</v>
      </c>
      <c r="G236" s="514" t="s">
        <v>278</v>
      </c>
      <c r="H236" s="495" t="s">
        <v>263</v>
      </c>
      <c r="I236" s="627">
        <f t="shared" si="348"/>
        <v>0</v>
      </c>
      <c r="J236" s="490">
        <v>0</v>
      </c>
      <c r="K236" s="14">
        <v>0</v>
      </c>
      <c r="L236" s="14">
        <v>0</v>
      </c>
      <c r="M236" s="14">
        <v>0</v>
      </c>
      <c r="N236" s="682">
        <v>0</v>
      </c>
      <c r="O236" s="696">
        <f t="shared" si="349"/>
        <v>0</v>
      </c>
      <c r="P236" s="490">
        <v>2257565</v>
      </c>
      <c r="Q236" s="492">
        <v>0</v>
      </c>
      <c r="R236" s="492">
        <v>0</v>
      </c>
      <c r="S236" s="492">
        <v>0</v>
      </c>
      <c r="T236" s="492">
        <v>0</v>
      </c>
      <c r="U236" s="492">
        <f t="shared" si="393"/>
        <v>2257565</v>
      </c>
      <c r="V236" s="492">
        <v>0</v>
      </c>
      <c r="W236" s="492">
        <v>0</v>
      </c>
      <c r="X236" s="492">
        <v>0</v>
      </c>
      <c r="Y236" s="492">
        <f t="shared" si="394"/>
        <v>0</v>
      </c>
      <c r="Z236" s="492">
        <f t="shared" si="395"/>
        <v>2257565</v>
      </c>
      <c r="AA236" s="494">
        <f t="shared" si="396"/>
        <v>763057</v>
      </c>
      <c r="AB236" s="494">
        <f t="shared" si="397"/>
        <v>22576</v>
      </c>
      <c r="AC236" s="14">
        <v>0</v>
      </c>
      <c r="AD236" s="892">
        <f t="shared" si="350"/>
        <v>3043198</v>
      </c>
      <c r="AE236" s="702">
        <v>0</v>
      </c>
      <c r="AF236" s="121">
        <v>5.62</v>
      </c>
      <c r="AG236" s="491">
        <v>0</v>
      </c>
      <c r="AH236" s="491">
        <v>0</v>
      </c>
      <c r="AI236" s="491">
        <v>0</v>
      </c>
      <c r="AJ236" s="491">
        <v>0</v>
      </c>
      <c r="AK236" s="626">
        <f t="shared" si="398"/>
        <v>5.62</v>
      </c>
      <c r="AL236" s="696">
        <f t="shared" si="399"/>
        <v>3043198</v>
      </c>
      <c r="AM236" s="492">
        <f t="shared" si="400"/>
        <v>2257565</v>
      </c>
      <c r="AN236" s="492">
        <f t="shared" si="401"/>
        <v>0</v>
      </c>
      <c r="AO236" s="492">
        <f t="shared" si="402"/>
        <v>763057</v>
      </c>
      <c r="AP236" s="492">
        <f t="shared" si="402"/>
        <v>22576</v>
      </c>
      <c r="AQ236" s="578">
        <f t="shared" si="402"/>
        <v>0</v>
      </c>
      <c r="AR236" s="626">
        <f t="shared" si="403"/>
        <v>5.62</v>
      </c>
    </row>
    <row r="237" spans="1:44" ht="14.1" customHeight="1" x14ac:dyDescent="0.2">
      <c r="A237" s="499">
        <v>59</v>
      </c>
      <c r="B237" s="512">
        <v>2452</v>
      </c>
      <c r="C237" s="513">
        <v>600079660</v>
      </c>
      <c r="D237" s="512">
        <v>70695261</v>
      </c>
      <c r="E237" s="511" t="s">
        <v>634</v>
      </c>
      <c r="F237" s="499">
        <v>3143</v>
      </c>
      <c r="G237" s="514" t="s">
        <v>794</v>
      </c>
      <c r="H237" s="495" t="s">
        <v>262</v>
      </c>
      <c r="I237" s="627">
        <f t="shared" si="348"/>
        <v>4591030</v>
      </c>
      <c r="J237" s="14">
        <v>3405809</v>
      </c>
      <c r="K237" s="14">
        <v>1151163</v>
      </c>
      <c r="L237" s="14">
        <v>34058</v>
      </c>
      <c r="M237" s="14">
        <v>0</v>
      </c>
      <c r="N237" s="121">
        <v>6.5891999999999999</v>
      </c>
      <c r="O237" s="696">
        <f t="shared" si="349"/>
        <v>0</v>
      </c>
      <c r="P237" s="492">
        <v>0</v>
      </c>
      <c r="Q237" s="492">
        <v>0</v>
      </c>
      <c r="R237" s="492">
        <v>0</v>
      </c>
      <c r="S237" s="492">
        <v>0</v>
      </c>
      <c r="T237" s="492">
        <v>0</v>
      </c>
      <c r="U237" s="492">
        <f t="shared" si="393"/>
        <v>0</v>
      </c>
      <c r="V237" s="492">
        <v>0</v>
      </c>
      <c r="W237" s="492">
        <v>0</v>
      </c>
      <c r="X237" s="492">
        <v>0</v>
      </c>
      <c r="Y237" s="492">
        <f t="shared" si="394"/>
        <v>0</v>
      </c>
      <c r="Z237" s="492">
        <f t="shared" si="395"/>
        <v>0</v>
      </c>
      <c r="AA237" s="494">
        <f t="shared" si="396"/>
        <v>0</v>
      </c>
      <c r="AB237" s="494">
        <f t="shared" si="397"/>
        <v>0</v>
      </c>
      <c r="AC237" s="14">
        <v>0</v>
      </c>
      <c r="AD237" s="892">
        <f t="shared" si="350"/>
        <v>0</v>
      </c>
      <c r="AE237" s="702">
        <v>0</v>
      </c>
      <c r="AF237" s="702">
        <v>0</v>
      </c>
      <c r="AG237" s="491">
        <v>0</v>
      </c>
      <c r="AH237" s="491">
        <v>0</v>
      </c>
      <c r="AI237" s="491">
        <v>0</v>
      </c>
      <c r="AJ237" s="491">
        <v>0</v>
      </c>
      <c r="AK237" s="626">
        <f t="shared" si="398"/>
        <v>0</v>
      </c>
      <c r="AL237" s="696">
        <f t="shared" si="399"/>
        <v>4591030</v>
      </c>
      <c r="AM237" s="492">
        <f t="shared" si="400"/>
        <v>3405809</v>
      </c>
      <c r="AN237" s="492">
        <f t="shared" si="401"/>
        <v>0</v>
      </c>
      <c r="AO237" s="492">
        <f t="shared" si="402"/>
        <v>1151163</v>
      </c>
      <c r="AP237" s="492">
        <f t="shared" si="402"/>
        <v>34058</v>
      </c>
      <c r="AQ237" s="578">
        <f t="shared" si="402"/>
        <v>0</v>
      </c>
      <c r="AR237" s="626">
        <f t="shared" si="403"/>
        <v>6.5891999999999999</v>
      </c>
    </row>
    <row r="238" spans="1:44" ht="14.1" customHeight="1" x14ac:dyDescent="0.2">
      <c r="A238" s="499">
        <v>59</v>
      </c>
      <c r="B238" s="512">
        <v>2452</v>
      </c>
      <c r="C238" s="513">
        <v>600079660</v>
      </c>
      <c r="D238" s="512">
        <v>70695261</v>
      </c>
      <c r="E238" s="511" t="s">
        <v>634</v>
      </c>
      <c r="F238" s="499">
        <v>3143</v>
      </c>
      <c r="G238" s="514" t="s">
        <v>282</v>
      </c>
      <c r="H238" s="495" t="s">
        <v>263</v>
      </c>
      <c r="I238" s="627">
        <f t="shared" si="348"/>
        <v>647970</v>
      </c>
      <c r="J238" s="490">
        <v>480690</v>
      </c>
      <c r="K238" s="14">
        <f>ROUND(J238*33.8%,0)</f>
        <v>162473</v>
      </c>
      <c r="L238" s="14">
        <f>ROUND(J238*1%,0)</f>
        <v>4807</v>
      </c>
      <c r="M238" s="14">
        <v>0</v>
      </c>
      <c r="N238" s="682">
        <v>0.89</v>
      </c>
      <c r="O238" s="696">
        <f t="shared" si="349"/>
        <v>0</v>
      </c>
      <c r="P238" s="492">
        <v>0</v>
      </c>
      <c r="Q238" s="492">
        <v>0</v>
      </c>
      <c r="R238" s="492">
        <v>0</v>
      </c>
      <c r="S238" s="492">
        <v>0</v>
      </c>
      <c r="T238" s="492">
        <v>0</v>
      </c>
      <c r="U238" s="492">
        <f t="shared" si="393"/>
        <v>0</v>
      </c>
      <c r="V238" s="492">
        <v>0</v>
      </c>
      <c r="W238" s="492">
        <v>0</v>
      </c>
      <c r="X238" s="492">
        <v>0</v>
      </c>
      <c r="Y238" s="492">
        <f t="shared" si="394"/>
        <v>0</v>
      </c>
      <c r="Z238" s="492">
        <f t="shared" si="395"/>
        <v>0</v>
      </c>
      <c r="AA238" s="494">
        <f t="shared" si="396"/>
        <v>0</v>
      </c>
      <c r="AB238" s="494">
        <f t="shared" si="397"/>
        <v>0</v>
      </c>
      <c r="AC238" s="14">
        <v>0</v>
      </c>
      <c r="AD238" s="892">
        <f t="shared" si="350"/>
        <v>0</v>
      </c>
      <c r="AE238" s="702">
        <v>0</v>
      </c>
      <c r="AF238" s="702">
        <v>0</v>
      </c>
      <c r="AG238" s="491">
        <v>0</v>
      </c>
      <c r="AH238" s="491">
        <v>0</v>
      </c>
      <c r="AI238" s="491">
        <v>0</v>
      </c>
      <c r="AJ238" s="491">
        <v>0</v>
      </c>
      <c r="AK238" s="626">
        <f t="shared" si="398"/>
        <v>0</v>
      </c>
      <c r="AL238" s="696">
        <f t="shared" si="399"/>
        <v>647970</v>
      </c>
      <c r="AM238" s="492">
        <f t="shared" si="400"/>
        <v>480690</v>
      </c>
      <c r="AN238" s="492">
        <f t="shared" si="401"/>
        <v>0</v>
      </c>
      <c r="AO238" s="492">
        <f t="shared" si="402"/>
        <v>162473</v>
      </c>
      <c r="AP238" s="492">
        <f t="shared" si="402"/>
        <v>4807</v>
      </c>
      <c r="AQ238" s="578">
        <f t="shared" si="402"/>
        <v>0</v>
      </c>
      <c r="AR238" s="626">
        <f t="shared" si="403"/>
        <v>0.89</v>
      </c>
    </row>
    <row r="239" spans="1:44" ht="14.1" customHeight="1" x14ac:dyDescent="0.2">
      <c r="A239" s="510">
        <v>59</v>
      </c>
      <c r="B239" s="508">
        <v>2452</v>
      </c>
      <c r="C239" s="509">
        <v>600079660</v>
      </c>
      <c r="D239" s="508">
        <v>70695261</v>
      </c>
      <c r="E239" s="506" t="s">
        <v>635</v>
      </c>
      <c r="F239" s="510"/>
      <c r="G239" s="506"/>
      <c r="H239" s="505"/>
      <c r="I239" s="629">
        <f t="shared" ref="I239:AR239" si="408">SUM(I233:I238)</f>
        <v>40260991</v>
      </c>
      <c r="J239" s="504">
        <f t="shared" si="408"/>
        <v>29867204</v>
      </c>
      <c r="K239" s="504">
        <f t="shared" si="408"/>
        <v>10095115</v>
      </c>
      <c r="L239" s="504">
        <f t="shared" si="408"/>
        <v>298672</v>
      </c>
      <c r="M239" s="504">
        <f t="shared" si="408"/>
        <v>0</v>
      </c>
      <c r="N239" s="885">
        <f t="shared" si="408"/>
        <v>44.398499999999999</v>
      </c>
      <c r="O239" s="629">
        <f t="shared" si="408"/>
        <v>-70000</v>
      </c>
      <c r="P239" s="503">
        <f t="shared" si="408"/>
        <v>2257565</v>
      </c>
      <c r="Q239" s="503">
        <f t="shared" si="408"/>
        <v>97300</v>
      </c>
      <c r="R239" s="503">
        <f t="shared" si="408"/>
        <v>181776</v>
      </c>
      <c r="S239" s="503">
        <f t="shared" si="408"/>
        <v>0</v>
      </c>
      <c r="T239" s="503">
        <f t="shared" si="408"/>
        <v>0</v>
      </c>
      <c r="U239" s="503">
        <f t="shared" si="408"/>
        <v>2466641</v>
      </c>
      <c r="V239" s="503">
        <f t="shared" si="408"/>
        <v>70000</v>
      </c>
      <c r="W239" s="503">
        <f t="shared" si="408"/>
        <v>0</v>
      </c>
      <c r="X239" s="503">
        <f t="shared" si="408"/>
        <v>0</v>
      </c>
      <c r="Y239" s="503">
        <f t="shared" si="408"/>
        <v>70000</v>
      </c>
      <c r="Z239" s="503">
        <f t="shared" si="408"/>
        <v>2536641</v>
      </c>
      <c r="AA239" s="503">
        <f t="shared" si="408"/>
        <v>857384</v>
      </c>
      <c r="AB239" s="503">
        <f t="shared" si="408"/>
        <v>24667</v>
      </c>
      <c r="AC239" s="503">
        <f t="shared" si="408"/>
        <v>0</v>
      </c>
      <c r="AD239" s="891">
        <f t="shared" si="408"/>
        <v>3418692</v>
      </c>
      <c r="AE239" s="701">
        <f t="shared" si="408"/>
        <v>-0.1</v>
      </c>
      <c r="AF239" s="701">
        <f t="shared" si="408"/>
        <v>5.62</v>
      </c>
      <c r="AG239" s="502">
        <f t="shared" si="408"/>
        <v>0.33</v>
      </c>
      <c r="AH239" s="502">
        <f t="shared" si="408"/>
        <v>0.14000000000000001</v>
      </c>
      <c r="AI239" s="502">
        <f t="shared" si="408"/>
        <v>0</v>
      </c>
      <c r="AJ239" s="502">
        <f t="shared" si="408"/>
        <v>0</v>
      </c>
      <c r="AK239" s="630">
        <f t="shared" si="408"/>
        <v>5.99</v>
      </c>
      <c r="AL239" s="629">
        <f t="shared" si="408"/>
        <v>43679683</v>
      </c>
      <c r="AM239" s="503">
        <f t="shared" si="408"/>
        <v>32333845</v>
      </c>
      <c r="AN239" s="552">
        <f t="shared" si="408"/>
        <v>70000</v>
      </c>
      <c r="AO239" s="503">
        <f t="shared" si="408"/>
        <v>10952499</v>
      </c>
      <c r="AP239" s="503">
        <f t="shared" si="408"/>
        <v>323339</v>
      </c>
      <c r="AQ239" s="503">
        <f t="shared" si="408"/>
        <v>0</v>
      </c>
      <c r="AR239" s="630">
        <f t="shared" si="408"/>
        <v>50.388499999999993</v>
      </c>
    </row>
    <row r="240" spans="1:44" ht="14.1" customHeight="1" x14ac:dyDescent="0.2">
      <c r="A240" s="499">
        <v>60</v>
      </c>
      <c r="B240" s="512">
        <v>2319</v>
      </c>
      <c r="C240" s="513">
        <v>600080218</v>
      </c>
      <c r="D240" s="512">
        <v>70695245</v>
      </c>
      <c r="E240" s="511" t="s">
        <v>636</v>
      </c>
      <c r="F240" s="499">
        <v>3231</v>
      </c>
      <c r="G240" s="511" t="s">
        <v>281</v>
      </c>
      <c r="H240" s="495" t="s">
        <v>262</v>
      </c>
      <c r="I240" s="627">
        <f t="shared" si="348"/>
        <v>8581825</v>
      </c>
      <c r="J240" s="14">
        <v>6366339</v>
      </c>
      <c r="K240" s="14">
        <v>2151823</v>
      </c>
      <c r="L240" s="14">
        <v>63663</v>
      </c>
      <c r="M240" s="14">
        <v>0</v>
      </c>
      <c r="N240" s="682">
        <v>9.5627999999999993</v>
      </c>
      <c r="O240" s="696">
        <f t="shared" si="349"/>
        <v>0</v>
      </c>
      <c r="P240" s="492">
        <v>0</v>
      </c>
      <c r="Q240" s="492">
        <v>0</v>
      </c>
      <c r="R240" s="492">
        <v>0</v>
      </c>
      <c r="S240" s="492">
        <v>0</v>
      </c>
      <c r="T240" s="492">
        <v>0</v>
      </c>
      <c r="U240" s="492">
        <f>O240+P240+Q240+R240+S240+T240</f>
        <v>0</v>
      </c>
      <c r="V240" s="492">
        <v>0</v>
      </c>
      <c r="W240" s="492">
        <v>0</v>
      </c>
      <c r="X240" s="492">
        <v>0</v>
      </c>
      <c r="Y240" s="492">
        <f>V240+W240+X240</f>
        <v>0</v>
      </c>
      <c r="Z240" s="492">
        <f>U240+Y240</f>
        <v>0</v>
      </c>
      <c r="AA240" s="494">
        <f>ROUND((U240+Y240)*33.8%,0)</f>
        <v>0</v>
      </c>
      <c r="AB240" s="494">
        <f>ROUND(U240*1%,0)</f>
        <v>0</v>
      </c>
      <c r="AC240" s="14">
        <v>0</v>
      </c>
      <c r="AD240" s="892">
        <f t="shared" si="350"/>
        <v>0</v>
      </c>
      <c r="AE240" s="702">
        <v>0</v>
      </c>
      <c r="AF240" s="702">
        <v>0</v>
      </c>
      <c r="AG240" s="491">
        <v>0</v>
      </c>
      <c r="AH240" s="491">
        <v>0</v>
      </c>
      <c r="AI240" s="491">
        <v>0</v>
      </c>
      <c r="AJ240" s="491">
        <v>0</v>
      </c>
      <c r="AK240" s="626">
        <f>SUM(AE240:AJ240)</f>
        <v>0</v>
      </c>
      <c r="AL240" s="696">
        <f>I240+AD240</f>
        <v>8581825</v>
      </c>
      <c r="AM240" s="492">
        <f>J240+U240</f>
        <v>6366339</v>
      </c>
      <c r="AN240" s="492">
        <f>Y240</f>
        <v>0</v>
      </c>
      <c r="AO240" s="492">
        <f>K240+AA240</f>
        <v>2151823</v>
      </c>
      <c r="AP240" s="492">
        <f>L240+AB240</f>
        <v>63663</v>
      </c>
      <c r="AQ240" s="578">
        <f>M240+AC240</f>
        <v>0</v>
      </c>
      <c r="AR240" s="626">
        <f>N240+AK240</f>
        <v>9.5627999999999993</v>
      </c>
    </row>
    <row r="241" spans="1:44" ht="14.1" customHeight="1" x14ac:dyDescent="0.2">
      <c r="A241" s="510">
        <v>60</v>
      </c>
      <c r="B241" s="508">
        <v>2319</v>
      </c>
      <c r="C241" s="509">
        <v>600080218</v>
      </c>
      <c r="D241" s="508">
        <v>70695245</v>
      </c>
      <c r="E241" s="506" t="s">
        <v>637</v>
      </c>
      <c r="F241" s="510"/>
      <c r="G241" s="506"/>
      <c r="H241" s="505"/>
      <c r="I241" s="632">
        <f t="shared" ref="I241:N241" si="409">SUM(I240)</f>
        <v>8581825</v>
      </c>
      <c r="J241" s="520">
        <f t="shared" si="409"/>
        <v>6366339</v>
      </c>
      <c r="K241" s="520">
        <f t="shared" si="409"/>
        <v>2151823</v>
      </c>
      <c r="L241" s="520">
        <f t="shared" si="409"/>
        <v>63663</v>
      </c>
      <c r="M241" s="520">
        <f t="shared" si="409"/>
        <v>0</v>
      </c>
      <c r="N241" s="886">
        <f t="shared" si="409"/>
        <v>9.5627999999999993</v>
      </c>
      <c r="O241" s="632">
        <f t="shared" ref="O241:AN241" si="410">SUM(O240)</f>
        <v>0</v>
      </c>
      <c r="P241" s="519">
        <f t="shared" si="410"/>
        <v>0</v>
      </c>
      <c r="Q241" s="519">
        <f t="shared" si="410"/>
        <v>0</v>
      </c>
      <c r="R241" s="519">
        <f t="shared" si="410"/>
        <v>0</v>
      </c>
      <c r="S241" s="519">
        <f t="shared" si="410"/>
        <v>0</v>
      </c>
      <c r="T241" s="519">
        <f t="shared" si="410"/>
        <v>0</v>
      </c>
      <c r="U241" s="519">
        <f t="shared" si="410"/>
        <v>0</v>
      </c>
      <c r="V241" s="519">
        <f t="shared" si="410"/>
        <v>0</v>
      </c>
      <c r="W241" s="519">
        <f t="shared" si="410"/>
        <v>0</v>
      </c>
      <c r="X241" s="519">
        <f t="shared" si="410"/>
        <v>0</v>
      </c>
      <c r="Y241" s="519">
        <f t="shared" si="410"/>
        <v>0</v>
      </c>
      <c r="Z241" s="519">
        <f t="shared" si="410"/>
        <v>0</v>
      </c>
      <c r="AA241" s="519">
        <f t="shared" si="410"/>
        <v>0</v>
      </c>
      <c r="AB241" s="519">
        <f t="shared" si="410"/>
        <v>0</v>
      </c>
      <c r="AC241" s="519">
        <f t="shared" si="410"/>
        <v>0</v>
      </c>
      <c r="AD241" s="893">
        <f t="shared" si="410"/>
        <v>0</v>
      </c>
      <c r="AE241" s="704">
        <f t="shared" si="410"/>
        <v>0</v>
      </c>
      <c r="AF241" s="704">
        <f t="shared" si="410"/>
        <v>0</v>
      </c>
      <c r="AG241" s="518">
        <f t="shared" si="410"/>
        <v>0</v>
      </c>
      <c r="AH241" s="518">
        <f t="shared" si="410"/>
        <v>0</v>
      </c>
      <c r="AI241" s="518">
        <f t="shared" si="410"/>
        <v>0</v>
      </c>
      <c r="AJ241" s="518">
        <f t="shared" si="410"/>
        <v>0</v>
      </c>
      <c r="AK241" s="633">
        <f t="shared" si="410"/>
        <v>0</v>
      </c>
      <c r="AL241" s="632">
        <f t="shared" si="410"/>
        <v>8581825</v>
      </c>
      <c r="AM241" s="519">
        <f t="shared" si="410"/>
        <v>6366339</v>
      </c>
      <c r="AN241" s="553">
        <f t="shared" si="410"/>
        <v>0</v>
      </c>
      <c r="AO241" s="519">
        <f t="shared" ref="AO241:AR241" si="411">SUM(AO240)</f>
        <v>2151823</v>
      </c>
      <c r="AP241" s="519">
        <f t="shared" si="411"/>
        <v>63663</v>
      </c>
      <c r="AQ241" s="519">
        <f t="shared" si="411"/>
        <v>0</v>
      </c>
      <c r="AR241" s="633">
        <f t="shared" si="411"/>
        <v>9.5627999999999993</v>
      </c>
    </row>
    <row r="242" spans="1:44" ht="14.1" customHeight="1" x14ac:dyDescent="0.2">
      <c r="A242" s="499">
        <v>61</v>
      </c>
      <c r="B242" s="512">
        <v>2444</v>
      </c>
      <c r="C242" s="513">
        <v>600079848</v>
      </c>
      <c r="D242" s="512">
        <v>72742836</v>
      </c>
      <c r="E242" s="511" t="s">
        <v>638</v>
      </c>
      <c r="F242" s="499">
        <v>3111</v>
      </c>
      <c r="G242" s="511" t="s">
        <v>277</v>
      </c>
      <c r="H242" s="495" t="s">
        <v>262</v>
      </c>
      <c r="I242" s="627">
        <f t="shared" si="348"/>
        <v>4693831</v>
      </c>
      <c r="J242" s="14">
        <v>3482070</v>
      </c>
      <c r="K242" s="14">
        <v>1176940</v>
      </c>
      <c r="L242" s="14">
        <v>34821</v>
      </c>
      <c r="M242" s="14">
        <v>0</v>
      </c>
      <c r="N242" s="121">
        <v>6</v>
      </c>
      <c r="O242" s="696">
        <f t="shared" si="349"/>
        <v>0</v>
      </c>
      <c r="P242" s="492">
        <v>0</v>
      </c>
      <c r="Q242" s="492">
        <v>0</v>
      </c>
      <c r="R242" s="492">
        <v>0</v>
      </c>
      <c r="S242" s="492">
        <v>0</v>
      </c>
      <c r="T242" s="492">
        <v>0</v>
      </c>
      <c r="U242" s="492">
        <f>O242+P242+Q242+R242+S242+T242</f>
        <v>0</v>
      </c>
      <c r="V242" s="492">
        <v>0</v>
      </c>
      <c r="W242" s="492">
        <v>0</v>
      </c>
      <c r="X242" s="492">
        <v>0</v>
      </c>
      <c r="Y242" s="492">
        <f t="shared" ref="Y242:Y245" si="412">V242+W242+X242</f>
        <v>0</v>
      </c>
      <c r="Z242" s="492">
        <f t="shared" ref="Z242:Z245" si="413">U242+Y242</f>
        <v>0</v>
      </c>
      <c r="AA242" s="494">
        <f t="shared" ref="AA242:AA245" si="414">ROUND((U242+Y242)*33.8%,0)</f>
        <v>0</v>
      </c>
      <c r="AB242" s="494">
        <f t="shared" ref="AB242:AB245" si="415">ROUND(U242*1%,0)</f>
        <v>0</v>
      </c>
      <c r="AC242" s="14">
        <v>0</v>
      </c>
      <c r="AD242" s="892">
        <f t="shared" si="350"/>
        <v>0</v>
      </c>
      <c r="AE242" s="702">
        <v>0</v>
      </c>
      <c r="AF242" s="702">
        <v>0</v>
      </c>
      <c r="AG242" s="491">
        <v>0</v>
      </c>
      <c r="AH242" s="491">
        <v>0</v>
      </c>
      <c r="AI242" s="491">
        <v>0</v>
      </c>
      <c r="AJ242" s="491">
        <v>0</v>
      </c>
      <c r="AK242" s="626">
        <f>SUM(AE242:AJ242)</f>
        <v>0</v>
      </c>
      <c r="AL242" s="696">
        <f>I242+AD242</f>
        <v>4693831</v>
      </c>
      <c r="AM242" s="492">
        <f>J242+U242</f>
        <v>3482070</v>
      </c>
      <c r="AN242" s="492">
        <f>Y242</f>
        <v>0</v>
      </c>
      <c r="AO242" s="492">
        <f t="shared" ref="AO242:AQ245" si="416">K242+AA242</f>
        <v>1176940</v>
      </c>
      <c r="AP242" s="492">
        <f t="shared" si="416"/>
        <v>34821</v>
      </c>
      <c r="AQ242" s="578">
        <f t="shared" si="416"/>
        <v>0</v>
      </c>
      <c r="AR242" s="626">
        <f>N242+AK242</f>
        <v>6</v>
      </c>
    </row>
    <row r="243" spans="1:44" ht="14.1" customHeight="1" x14ac:dyDescent="0.2">
      <c r="A243" s="499">
        <v>61</v>
      </c>
      <c r="B243" s="512">
        <v>2444</v>
      </c>
      <c r="C243" s="513">
        <v>600079848</v>
      </c>
      <c r="D243" s="512">
        <v>72742836</v>
      </c>
      <c r="E243" s="511" t="s">
        <v>638</v>
      </c>
      <c r="F243" s="499">
        <v>3117</v>
      </c>
      <c r="G243" s="523" t="s">
        <v>280</v>
      </c>
      <c r="H243" s="495" t="s">
        <v>262</v>
      </c>
      <c r="I243" s="627">
        <f t="shared" si="348"/>
        <v>3646894</v>
      </c>
      <c r="J243" s="14">
        <v>2705411</v>
      </c>
      <c r="K243" s="14">
        <v>914429</v>
      </c>
      <c r="L243" s="14">
        <v>27054</v>
      </c>
      <c r="M243" s="14">
        <v>0</v>
      </c>
      <c r="N243" s="121">
        <v>4</v>
      </c>
      <c r="O243" s="696">
        <f t="shared" si="349"/>
        <v>-14700</v>
      </c>
      <c r="P243" s="492">
        <v>0</v>
      </c>
      <c r="Q243" s="492">
        <v>0</v>
      </c>
      <c r="R243" s="492">
        <v>0</v>
      </c>
      <c r="S243" s="492">
        <v>0</v>
      </c>
      <c r="T243" s="492">
        <v>0</v>
      </c>
      <c r="U243" s="492">
        <f>O243+P243+Q243+R243+S243+T243</f>
        <v>-14700</v>
      </c>
      <c r="V243" s="492">
        <v>14700</v>
      </c>
      <c r="W243" s="492">
        <v>0</v>
      </c>
      <c r="X243" s="492">
        <v>0</v>
      </c>
      <c r="Y243" s="492">
        <f t="shared" si="412"/>
        <v>14700</v>
      </c>
      <c r="Z243" s="492">
        <f t="shared" si="413"/>
        <v>0</v>
      </c>
      <c r="AA243" s="494">
        <f t="shared" si="414"/>
        <v>0</v>
      </c>
      <c r="AB243" s="494">
        <f t="shared" si="415"/>
        <v>-147</v>
      </c>
      <c r="AC243" s="14">
        <v>0</v>
      </c>
      <c r="AD243" s="892">
        <f t="shared" si="350"/>
        <v>-147</v>
      </c>
      <c r="AE243" s="702">
        <v>-0.02</v>
      </c>
      <c r="AF243" s="702">
        <v>0</v>
      </c>
      <c r="AG243" s="491">
        <v>0</v>
      </c>
      <c r="AH243" s="491">
        <v>0</v>
      </c>
      <c r="AI243" s="491">
        <v>0</v>
      </c>
      <c r="AJ243" s="491">
        <v>0</v>
      </c>
      <c r="AK243" s="626">
        <f>SUM(AE243:AJ243)</f>
        <v>-0.02</v>
      </c>
      <c r="AL243" s="696">
        <f>I243+AD243</f>
        <v>3646747</v>
      </c>
      <c r="AM243" s="492">
        <f>J243+U243</f>
        <v>2690711</v>
      </c>
      <c r="AN243" s="492">
        <f>Y243</f>
        <v>14700</v>
      </c>
      <c r="AO243" s="492">
        <f t="shared" si="416"/>
        <v>914429</v>
      </c>
      <c r="AP243" s="492">
        <f t="shared" si="416"/>
        <v>26907</v>
      </c>
      <c r="AQ243" s="578">
        <f t="shared" si="416"/>
        <v>0</v>
      </c>
      <c r="AR243" s="626">
        <f>N243+AK243</f>
        <v>3.98</v>
      </c>
    </row>
    <row r="244" spans="1:44" ht="14.1" customHeight="1" x14ac:dyDescent="0.2">
      <c r="A244" s="499">
        <v>61</v>
      </c>
      <c r="B244" s="512">
        <v>2444</v>
      </c>
      <c r="C244" s="513">
        <v>600079848</v>
      </c>
      <c r="D244" s="512">
        <v>72742836</v>
      </c>
      <c r="E244" s="511" t="s">
        <v>638</v>
      </c>
      <c r="F244" s="499">
        <v>3117</v>
      </c>
      <c r="G244" s="514" t="s">
        <v>278</v>
      </c>
      <c r="H244" s="495" t="s">
        <v>263</v>
      </c>
      <c r="I244" s="627">
        <f t="shared" si="348"/>
        <v>0</v>
      </c>
      <c r="J244" s="490">
        <v>0</v>
      </c>
      <c r="K244" s="14">
        <v>0</v>
      </c>
      <c r="L244" s="14">
        <v>0</v>
      </c>
      <c r="M244" s="14">
        <v>0</v>
      </c>
      <c r="N244" s="682">
        <v>0</v>
      </c>
      <c r="O244" s="696">
        <f t="shared" si="349"/>
        <v>0</v>
      </c>
      <c r="P244" s="490">
        <v>1292690</v>
      </c>
      <c r="Q244" s="492">
        <v>0</v>
      </c>
      <c r="R244" s="492">
        <v>0</v>
      </c>
      <c r="S244" s="492">
        <v>0</v>
      </c>
      <c r="T244" s="492">
        <v>0</v>
      </c>
      <c r="U244" s="492">
        <f>O244+P244+Q244+R244+S244+T244</f>
        <v>1292690</v>
      </c>
      <c r="V244" s="492">
        <v>0</v>
      </c>
      <c r="W244" s="492">
        <v>0</v>
      </c>
      <c r="X244" s="492">
        <v>0</v>
      </c>
      <c r="Y244" s="492">
        <f t="shared" si="412"/>
        <v>0</v>
      </c>
      <c r="Z244" s="492">
        <f t="shared" si="413"/>
        <v>1292690</v>
      </c>
      <c r="AA244" s="494">
        <f t="shared" si="414"/>
        <v>436929</v>
      </c>
      <c r="AB244" s="494">
        <f t="shared" si="415"/>
        <v>12927</v>
      </c>
      <c r="AC244" s="14">
        <v>0</v>
      </c>
      <c r="AD244" s="892">
        <f t="shared" si="350"/>
        <v>1742546</v>
      </c>
      <c r="AE244" s="702">
        <v>0</v>
      </c>
      <c r="AF244" s="121">
        <v>3.47</v>
      </c>
      <c r="AG244" s="491">
        <v>0</v>
      </c>
      <c r="AH244" s="491">
        <v>0</v>
      </c>
      <c r="AI244" s="491">
        <v>0</v>
      </c>
      <c r="AJ244" s="491">
        <v>0</v>
      </c>
      <c r="AK244" s="626">
        <f>SUM(AE244:AJ244)</f>
        <v>3.47</v>
      </c>
      <c r="AL244" s="696">
        <f>I244+AD244</f>
        <v>1742546</v>
      </c>
      <c r="AM244" s="492">
        <f>J244+U244</f>
        <v>1292690</v>
      </c>
      <c r="AN244" s="492">
        <f>Y244</f>
        <v>0</v>
      </c>
      <c r="AO244" s="492">
        <f t="shared" si="416"/>
        <v>436929</v>
      </c>
      <c r="AP244" s="492">
        <f t="shared" si="416"/>
        <v>12927</v>
      </c>
      <c r="AQ244" s="578">
        <f t="shared" si="416"/>
        <v>0</v>
      </c>
      <c r="AR244" s="626">
        <f>N244+AK244</f>
        <v>3.47</v>
      </c>
    </row>
    <row r="245" spans="1:44" ht="14.1" customHeight="1" x14ac:dyDescent="0.2">
      <c r="A245" s="499">
        <v>61</v>
      </c>
      <c r="B245" s="512">
        <v>2444</v>
      </c>
      <c r="C245" s="513">
        <v>600079848</v>
      </c>
      <c r="D245" s="512">
        <v>72742836</v>
      </c>
      <c r="E245" s="511" t="s">
        <v>638</v>
      </c>
      <c r="F245" s="499">
        <v>3143</v>
      </c>
      <c r="G245" s="514" t="s">
        <v>794</v>
      </c>
      <c r="H245" s="495" t="s">
        <v>262</v>
      </c>
      <c r="I245" s="627">
        <f t="shared" si="348"/>
        <v>780090</v>
      </c>
      <c r="J245" s="14">
        <v>578702</v>
      </c>
      <c r="K245" s="14">
        <v>195601</v>
      </c>
      <c r="L245" s="14">
        <v>5787</v>
      </c>
      <c r="M245" s="14">
        <v>0</v>
      </c>
      <c r="N245" s="121">
        <v>1</v>
      </c>
      <c r="O245" s="696">
        <f t="shared" si="349"/>
        <v>0</v>
      </c>
      <c r="P245" s="492">
        <v>0</v>
      </c>
      <c r="Q245" s="492">
        <v>0</v>
      </c>
      <c r="R245" s="492">
        <v>0</v>
      </c>
      <c r="S245" s="492">
        <v>0</v>
      </c>
      <c r="T245" s="492">
        <v>0</v>
      </c>
      <c r="U245" s="492">
        <f>O245+P245+Q245+R245+S245+T245</f>
        <v>0</v>
      </c>
      <c r="V245" s="492">
        <v>0</v>
      </c>
      <c r="W245" s="492">
        <v>0</v>
      </c>
      <c r="X245" s="492">
        <v>0</v>
      </c>
      <c r="Y245" s="492">
        <f t="shared" si="412"/>
        <v>0</v>
      </c>
      <c r="Z245" s="492">
        <f t="shared" si="413"/>
        <v>0</v>
      </c>
      <c r="AA245" s="494">
        <f t="shared" si="414"/>
        <v>0</v>
      </c>
      <c r="AB245" s="494">
        <f t="shared" si="415"/>
        <v>0</v>
      </c>
      <c r="AC245" s="14">
        <v>0</v>
      </c>
      <c r="AD245" s="892">
        <f t="shared" si="350"/>
        <v>0</v>
      </c>
      <c r="AE245" s="702">
        <v>0</v>
      </c>
      <c r="AF245" s="702">
        <v>0</v>
      </c>
      <c r="AG245" s="491">
        <v>0</v>
      </c>
      <c r="AH245" s="491">
        <v>0</v>
      </c>
      <c r="AI245" s="491">
        <v>0</v>
      </c>
      <c r="AJ245" s="491">
        <v>0</v>
      </c>
      <c r="AK245" s="626">
        <f>SUM(AE245:AJ245)</f>
        <v>0</v>
      </c>
      <c r="AL245" s="696">
        <f>I245+AD245</f>
        <v>780090</v>
      </c>
      <c r="AM245" s="492">
        <f>J245+U245</f>
        <v>578702</v>
      </c>
      <c r="AN245" s="492">
        <f>Y245</f>
        <v>0</v>
      </c>
      <c r="AO245" s="492">
        <f t="shared" si="416"/>
        <v>195601</v>
      </c>
      <c r="AP245" s="492">
        <f t="shared" si="416"/>
        <v>5787</v>
      </c>
      <c r="AQ245" s="578">
        <f t="shared" si="416"/>
        <v>0</v>
      </c>
      <c r="AR245" s="626">
        <f>N245+AK245</f>
        <v>1</v>
      </c>
    </row>
    <row r="246" spans="1:44" ht="14.1" customHeight="1" x14ac:dyDescent="0.2">
      <c r="A246" s="510">
        <v>61</v>
      </c>
      <c r="B246" s="508">
        <v>2444</v>
      </c>
      <c r="C246" s="509">
        <v>600079848</v>
      </c>
      <c r="D246" s="508">
        <v>72742836</v>
      </c>
      <c r="E246" s="506" t="s">
        <v>639</v>
      </c>
      <c r="F246" s="510"/>
      <c r="G246" s="506"/>
      <c r="H246" s="505"/>
      <c r="I246" s="629">
        <f t="shared" ref="I246:AR246" si="417">SUM(I242:I245)</f>
        <v>9120815</v>
      </c>
      <c r="J246" s="504">
        <f t="shared" si="417"/>
        <v>6766183</v>
      </c>
      <c r="K246" s="504">
        <f t="shared" si="417"/>
        <v>2286970</v>
      </c>
      <c r="L246" s="504">
        <f t="shared" si="417"/>
        <v>67662</v>
      </c>
      <c r="M246" s="504">
        <f t="shared" si="417"/>
        <v>0</v>
      </c>
      <c r="N246" s="885">
        <f t="shared" si="417"/>
        <v>11</v>
      </c>
      <c r="O246" s="629">
        <f t="shared" si="417"/>
        <v>-14700</v>
      </c>
      <c r="P246" s="503">
        <f t="shared" si="417"/>
        <v>1292690</v>
      </c>
      <c r="Q246" s="503">
        <f t="shared" si="417"/>
        <v>0</v>
      </c>
      <c r="R246" s="503">
        <f t="shared" si="417"/>
        <v>0</v>
      </c>
      <c r="S246" s="503">
        <f t="shared" si="417"/>
        <v>0</v>
      </c>
      <c r="T246" s="503">
        <f t="shared" si="417"/>
        <v>0</v>
      </c>
      <c r="U246" s="503">
        <f t="shared" si="417"/>
        <v>1277990</v>
      </c>
      <c r="V246" s="503">
        <f t="shared" si="417"/>
        <v>14700</v>
      </c>
      <c r="W246" s="503">
        <f t="shared" si="417"/>
        <v>0</v>
      </c>
      <c r="X246" s="503">
        <f t="shared" si="417"/>
        <v>0</v>
      </c>
      <c r="Y246" s="503">
        <f t="shared" si="417"/>
        <v>14700</v>
      </c>
      <c r="Z246" s="503">
        <f t="shared" si="417"/>
        <v>1292690</v>
      </c>
      <c r="AA246" s="503">
        <f t="shared" si="417"/>
        <v>436929</v>
      </c>
      <c r="AB246" s="503">
        <f t="shared" si="417"/>
        <v>12780</v>
      </c>
      <c r="AC246" s="503">
        <f t="shared" si="417"/>
        <v>0</v>
      </c>
      <c r="AD246" s="891">
        <f t="shared" si="417"/>
        <v>1742399</v>
      </c>
      <c r="AE246" s="701">
        <f t="shared" si="417"/>
        <v>-0.02</v>
      </c>
      <c r="AF246" s="701">
        <f t="shared" si="417"/>
        <v>3.47</v>
      </c>
      <c r="AG246" s="502">
        <f t="shared" si="417"/>
        <v>0</v>
      </c>
      <c r="AH246" s="502">
        <f t="shared" si="417"/>
        <v>0</v>
      </c>
      <c r="AI246" s="502">
        <f t="shared" si="417"/>
        <v>0</v>
      </c>
      <c r="AJ246" s="502">
        <f t="shared" si="417"/>
        <v>0</v>
      </c>
      <c r="AK246" s="630">
        <f t="shared" si="417"/>
        <v>3.45</v>
      </c>
      <c r="AL246" s="629">
        <f t="shared" si="417"/>
        <v>10863214</v>
      </c>
      <c r="AM246" s="503">
        <f t="shared" si="417"/>
        <v>8044173</v>
      </c>
      <c r="AN246" s="552">
        <f t="shared" si="417"/>
        <v>14700</v>
      </c>
      <c r="AO246" s="503">
        <f t="shared" si="417"/>
        <v>2723899</v>
      </c>
      <c r="AP246" s="503">
        <f t="shared" si="417"/>
        <v>80442</v>
      </c>
      <c r="AQ246" s="503">
        <f t="shared" si="417"/>
        <v>0</v>
      </c>
      <c r="AR246" s="630">
        <f t="shared" si="417"/>
        <v>14.450000000000001</v>
      </c>
    </row>
    <row r="247" spans="1:44" ht="14.1" customHeight="1" x14ac:dyDescent="0.2">
      <c r="A247" s="499">
        <v>62</v>
      </c>
      <c r="B247" s="512">
        <v>2457</v>
      </c>
      <c r="C247" s="513">
        <v>650021479</v>
      </c>
      <c r="D247" s="512">
        <v>72742577</v>
      </c>
      <c r="E247" s="511" t="s">
        <v>640</v>
      </c>
      <c r="F247" s="499">
        <v>3111</v>
      </c>
      <c r="G247" s="511" t="s">
        <v>277</v>
      </c>
      <c r="H247" s="495" t="s">
        <v>262</v>
      </c>
      <c r="I247" s="627">
        <f t="shared" si="348"/>
        <v>1502753</v>
      </c>
      <c r="J247" s="14">
        <v>1114802</v>
      </c>
      <c r="K247" s="14">
        <v>376803</v>
      </c>
      <c r="L247" s="14">
        <v>11148</v>
      </c>
      <c r="M247" s="14">
        <v>0</v>
      </c>
      <c r="N247" s="121">
        <v>2</v>
      </c>
      <c r="O247" s="696">
        <f t="shared" si="349"/>
        <v>-5000</v>
      </c>
      <c r="P247" s="492">
        <v>0</v>
      </c>
      <c r="Q247" s="492">
        <v>0</v>
      </c>
      <c r="R247" s="492">
        <v>0</v>
      </c>
      <c r="S247" s="492">
        <v>0</v>
      </c>
      <c r="T247" s="492">
        <v>0</v>
      </c>
      <c r="U247" s="492">
        <f>O247+P247+Q247+R247+S247+T247</f>
        <v>-5000</v>
      </c>
      <c r="V247" s="492">
        <v>5000</v>
      </c>
      <c r="W247" s="492">
        <v>0</v>
      </c>
      <c r="X247" s="492">
        <v>0</v>
      </c>
      <c r="Y247" s="492">
        <f t="shared" ref="Y247:Y250" si="418">V247+W247+X247</f>
        <v>5000</v>
      </c>
      <c r="Z247" s="492">
        <f t="shared" ref="Z247:Z250" si="419">U247+Y247</f>
        <v>0</v>
      </c>
      <c r="AA247" s="494">
        <f t="shared" ref="AA247:AA250" si="420">ROUND((U247+Y247)*33.8%,0)</f>
        <v>0</v>
      </c>
      <c r="AB247" s="494">
        <f t="shared" ref="AB247:AB250" si="421">ROUND(U247*1%,0)</f>
        <v>-50</v>
      </c>
      <c r="AC247" s="14">
        <v>0</v>
      </c>
      <c r="AD247" s="892">
        <f t="shared" si="350"/>
        <v>-50</v>
      </c>
      <c r="AE247" s="702">
        <v>0</v>
      </c>
      <c r="AF247" s="702">
        <v>0</v>
      </c>
      <c r="AG247" s="491">
        <v>0</v>
      </c>
      <c r="AH247" s="491">
        <v>0</v>
      </c>
      <c r="AI247" s="491">
        <v>0</v>
      </c>
      <c r="AJ247" s="491">
        <v>0</v>
      </c>
      <c r="AK247" s="626">
        <f>SUM(AE247:AJ247)</f>
        <v>0</v>
      </c>
      <c r="AL247" s="696">
        <f>I247+AD247</f>
        <v>1502703</v>
      </c>
      <c r="AM247" s="492">
        <f>J247+U247</f>
        <v>1109802</v>
      </c>
      <c r="AN247" s="492">
        <f>Y247</f>
        <v>5000</v>
      </c>
      <c r="AO247" s="492">
        <f t="shared" ref="AO247:AQ250" si="422">K247+AA247</f>
        <v>376803</v>
      </c>
      <c r="AP247" s="492">
        <f t="shared" si="422"/>
        <v>11098</v>
      </c>
      <c r="AQ247" s="578">
        <f t="shared" si="422"/>
        <v>0</v>
      </c>
      <c r="AR247" s="626">
        <f>N247+AK247</f>
        <v>2</v>
      </c>
    </row>
    <row r="248" spans="1:44" ht="14.1" customHeight="1" x14ac:dyDescent="0.2">
      <c r="A248" s="499">
        <v>62</v>
      </c>
      <c r="B248" s="512">
        <v>2457</v>
      </c>
      <c r="C248" s="513">
        <v>650021479</v>
      </c>
      <c r="D248" s="512">
        <v>72742577</v>
      </c>
      <c r="E248" s="511" t="s">
        <v>640</v>
      </c>
      <c r="F248" s="499">
        <v>3117</v>
      </c>
      <c r="G248" s="523" t="s">
        <v>280</v>
      </c>
      <c r="H248" s="495" t="s">
        <v>262</v>
      </c>
      <c r="I248" s="627">
        <f t="shared" si="348"/>
        <v>2076418</v>
      </c>
      <c r="J248" s="14">
        <v>1540369</v>
      </c>
      <c r="K248" s="14">
        <v>520645</v>
      </c>
      <c r="L248" s="14">
        <v>15404</v>
      </c>
      <c r="M248" s="14">
        <v>0</v>
      </c>
      <c r="N248" s="121">
        <v>2.4003999999999999</v>
      </c>
      <c r="O248" s="696">
        <f t="shared" si="349"/>
        <v>-29000</v>
      </c>
      <c r="P248" s="492">
        <v>0</v>
      </c>
      <c r="Q248" s="492">
        <v>0</v>
      </c>
      <c r="R248" s="492">
        <v>0</v>
      </c>
      <c r="S248" s="492">
        <v>0</v>
      </c>
      <c r="T248" s="492">
        <v>0</v>
      </c>
      <c r="U248" s="492">
        <f>O248+P248+Q248+R248+S248+T248</f>
        <v>-29000</v>
      </c>
      <c r="V248" s="492">
        <v>29000</v>
      </c>
      <c r="W248" s="492">
        <v>0</v>
      </c>
      <c r="X248" s="492">
        <v>0</v>
      </c>
      <c r="Y248" s="492">
        <f t="shared" si="418"/>
        <v>29000</v>
      </c>
      <c r="Z248" s="492">
        <f t="shared" si="419"/>
        <v>0</v>
      </c>
      <c r="AA248" s="494">
        <f t="shared" si="420"/>
        <v>0</v>
      </c>
      <c r="AB248" s="494">
        <f t="shared" si="421"/>
        <v>-290</v>
      </c>
      <c r="AC248" s="14">
        <v>0</v>
      </c>
      <c r="AD248" s="892">
        <f t="shared" si="350"/>
        <v>-290</v>
      </c>
      <c r="AE248" s="702">
        <v>-0.03</v>
      </c>
      <c r="AF248" s="702">
        <v>0</v>
      </c>
      <c r="AG248" s="491">
        <v>0</v>
      </c>
      <c r="AH248" s="491">
        <v>0</v>
      </c>
      <c r="AI248" s="491">
        <v>0</v>
      </c>
      <c r="AJ248" s="491">
        <v>0</v>
      </c>
      <c r="AK248" s="626">
        <f>SUM(AE248:AJ248)</f>
        <v>-0.03</v>
      </c>
      <c r="AL248" s="696">
        <f>I248+AD248</f>
        <v>2076128</v>
      </c>
      <c r="AM248" s="492">
        <f>J248+U248</f>
        <v>1511369</v>
      </c>
      <c r="AN248" s="492">
        <f>Y248</f>
        <v>29000</v>
      </c>
      <c r="AO248" s="492">
        <f t="shared" si="422"/>
        <v>520645</v>
      </c>
      <c r="AP248" s="492">
        <f t="shared" si="422"/>
        <v>15114</v>
      </c>
      <c r="AQ248" s="578">
        <f t="shared" si="422"/>
        <v>0</v>
      </c>
      <c r="AR248" s="626">
        <f>N248+AK248</f>
        <v>2.3704000000000001</v>
      </c>
    </row>
    <row r="249" spans="1:44" ht="14.1" customHeight="1" x14ac:dyDescent="0.2">
      <c r="A249" s="499">
        <v>62</v>
      </c>
      <c r="B249" s="512">
        <v>2457</v>
      </c>
      <c r="C249" s="513">
        <v>650021479</v>
      </c>
      <c r="D249" s="512">
        <v>72742577</v>
      </c>
      <c r="E249" s="511" t="s">
        <v>640</v>
      </c>
      <c r="F249" s="499">
        <v>3117</v>
      </c>
      <c r="G249" s="514" t="s">
        <v>278</v>
      </c>
      <c r="H249" s="495" t="s">
        <v>263</v>
      </c>
      <c r="I249" s="627">
        <f t="shared" si="348"/>
        <v>0</v>
      </c>
      <c r="J249" s="490">
        <v>0</v>
      </c>
      <c r="K249" s="14">
        <v>0</v>
      </c>
      <c r="L249" s="14">
        <v>0</v>
      </c>
      <c r="M249" s="14">
        <v>0</v>
      </c>
      <c r="N249" s="682">
        <v>0</v>
      </c>
      <c r="O249" s="696">
        <f t="shared" si="349"/>
        <v>0</v>
      </c>
      <c r="P249" s="490">
        <v>198424</v>
      </c>
      <c r="Q249" s="492">
        <v>0</v>
      </c>
      <c r="R249" s="492">
        <v>0</v>
      </c>
      <c r="S249" s="492">
        <v>0</v>
      </c>
      <c r="T249" s="492">
        <v>0</v>
      </c>
      <c r="U249" s="492">
        <f>O249+P249+Q249+R249+S249+T249</f>
        <v>198424</v>
      </c>
      <c r="V249" s="492">
        <v>0</v>
      </c>
      <c r="W249" s="492">
        <v>0</v>
      </c>
      <c r="X249" s="492">
        <v>0</v>
      </c>
      <c r="Y249" s="492">
        <f t="shared" si="418"/>
        <v>0</v>
      </c>
      <c r="Z249" s="492">
        <f t="shared" si="419"/>
        <v>198424</v>
      </c>
      <c r="AA249" s="494">
        <f t="shared" si="420"/>
        <v>67067</v>
      </c>
      <c r="AB249" s="494">
        <f t="shared" si="421"/>
        <v>1984</v>
      </c>
      <c r="AC249" s="14">
        <v>0</v>
      </c>
      <c r="AD249" s="892">
        <f t="shared" si="350"/>
        <v>267475</v>
      </c>
      <c r="AE249" s="702">
        <v>0</v>
      </c>
      <c r="AF249" s="121">
        <v>0.5</v>
      </c>
      <c r="AG249" s="491">
        <v>0</v>
      </c>
      <c r="AH249" s="491">
        <v>0</v>
      </c>
      <c r="AI249" s="491">
        <v>0</v>
      </c>
      <c r="AJ249" s="491">
        <v>0</v>
      </c>
      <c r="AK249" s="626">
        <f>SUM(AE249:AJ249)</f>
        <v>0.5</v>
      </c>
      <c r="AL249" s="696">
        <f>I249+AD249</f>
        <v>267475</v>
      </c>
      <c r="AM249" s="492">
        <f>J249+U249</f>
        <v>198424</v>
      </c>
      <c r="AN249" s="492">
        <f>Y249</f>
        <v>0</v>
      </c>
      <c r="AO249" s="492">
        <f t="shared" si="422"/>
        <v>67067</v>
      </c>
      <c r="AP249" s="492">
        <f t="shared" si="422"/>
        <v>1984</v>
      </c>
      <c r="AQ249" s="578">
        <f t="shared" si="422"/>
        <v>0</v>
      </c>
      <c r="AR249" s="626">
        <f>N249+AK249</f>
        <v>0.5</v>
      </c>
    </row>
    <row r="250" spans="1:44" ht="14.1" customHeight="1" x14ac:dyDescent="0.2">
      <c r="A250" s="499">
        <v>62</v>
      </c>
      <c r="B250" s="512">
        <v>2457</v>
      </c>
      <c r="C250" s="513">
        <v>650021479</v>
      </c>
      <c r="D250" s="512">
        <v>72742577</v>
      </c>
      <c r="E250" s="511" t="s">
        <v>640</v>
      </c>
      <c r="F250" s="499">
        <v>3143</v>
      </c>
      <c r="G250" s="514" t="s">
        <v>794</v>
      </c>
      <c r="H250" s="495" t="s">
        <v>262</v>
      </c>
      <c r="I250" s="627">
        <f t="shared" si="348"/>
        <v>657937</v>
      </c>
      <c r="J250" s="14">
        <v>488084</v>
      </c>
      <c r="K250" s="14">
        <v>164972</v>
      </c>
      <c r="L250" s="14">
        <v>4881</v>
      </c>
      <c r="M250" s="14">
        <v>0</v>
      </c>
      <c r="N250" s="121">
        <v>1</v>
      </c>
      <c r="O250" s="696">
        <f t="shared" si="349"/>
        <v>-4000</v>
      </c>
      <c r="P250" s="492">
        <v>0</v>
      </c>
      <c r="Q250" s="492">
        <v>0</v>
      </c>
      <c r="R250" s="492">
        <v>0</v>
      </c>
      <c r="S250" s="492">
        <v>0</v>
      </c>
      <c r="T250" s="492">
        <v>0</v>
      </c>
      <c r="U250" s="492">
        <f>O250+P250+Q250+R250+S250+T250</f>
        <v>-4000</v>
      </c>
      <c r="V250" s="492">
        <v>4000</v>
      </c>
      <c r="W250" s="492">
        <v>0</v>
      </c>
      <c r="X250" s="492">
        <v>0</v>
      </c>
      <c r="Y250" s="492">
        <f t="shared" si="418"/>
        <v>4000</v>
      </c>
      <c r="Z250" s="492">
        <f t="shared" si="419"/>
        <v>0</v>
      </c>
      <c r="AA250" s="494">
        <f t="shared" si="420"/>
        <v>0</v>
      </c>
      <c r="AB250" s="494">
        <f t="shared" si="421"/>
        <v>-40</v>
      </c>
      <c r="AC250" s="14">
        <v>0</v>
      </c>
      <c r="AD250" s="892">
        <f t="shared" si="350"/>
        <v>-40</v>
      </c>
      <c r="AE250" s="702">
        <v>0</v>
      </c>
      <c r="AF250" s="702">
        <v>0</v>
      </c>
      <c r="AG250" s="491">
        <v>0</v>
      </c>
      <c r="AH250" s="491">
        <v>0</v>
      </c>
      <c r="AI250" s="491">
        <v>0</v>
      </c>
      <c r="AJ250" s="491">
        <v>0</v>
      </c>
      <c r="AK250" s="626">
        <f>SUM(AE250:AJ250)</f>
        <v>0</v>
      </c>
      <c r="AL250" s="696">
        <f>I250+AD250</f>
        <v>657897</v>
      </c>
      <c r="AM250" s="492">
        <f>J250+U250</f>
        <v>484084</v>
      </c>
      <c r="AN250" s="492">
        <f>Y250</f>
        <v>4000</v>
      </c>
      <c r="AO250" s="492">
        <f t="shared" si="422"/>
        <v>164972</v>
      </c>
      <c r="AP250" s="492">
        <f t="shared" si="422"/>
        <v>4841</v>
      </c>
      <c r="AQ250" s="578">
        <f t="shared" si="422"/>
        <v>0</v>
      </c>
      <c r="AR250" s="626">
        <f>N250+AK250</f>
        <v>1</v>
      </c>
    </row>
    <row r="251" spans="1:44" ht="14.1" customHeight="1" x14ac:dyDescent="0.2">
      <c r="A251" s="510">
        <v>62</v>
      </c>
      <c r="B251" s="508">
        <v>2457</v>
      </c>
      <c r="C251" s="509">
        <v>650021479</v>
      </c>
      <c r="D251" s="508">
        <v>72742577</v>
      </c>
      <c r="E251" s="506" t="s">
        <v>641</v>
      </c>
      <c r="F251" s="510"/>
      <c r="G251" s="506"/>
      <c r="H251" s="505"/>
      <c r="I251" s="629">
        <f t="shared" ref="I251:AR251" si="423">SUM(I247:I250)</f>
        <v>4237108</v>
      </c>
      <c r="J251" s="504">
        <f t="shared" si="423"/>
        <v>3143255</v>
      </c>
      <c r="K251" s="504">
        <f t="shared" si="423"/>
        <v>1062420</v>
      </c>
      <c r="L251" s="504">
        <f t="shared" si="423"/>
        <v>31433</v>
      </c>
      <c r="M251" s="504">
        <f t="shared" si="423"/>
        <v>0</v>
      </c>
      <c r="N251" s="885">
        <f t="shared" si="423"/>
        <v>5.4003999999999994</v>
      </c>
      <c r="O251" s="629">
        <f t="shared" si="423"/>
        <v>-38000</v>
      </c>
      <c r="P251" s="503">
        <f t="shared" si="423"/>
        <v>198424</v>
      </c>
      <c r="Q251" s="503">
        <f t="shared" si="423"/>
        <v>0</v>
      </c>
      <c r="R251" s="503">
        <f t="shared" si="423"/>
        <v>0</v>
      </c>
      <c r="S251" s="503">
        <f t="shared" si="423"/>
        <v>0</v>
      </c>
      <c r="T251" s="503">
        <f t="shared" si="423"/>
        <v>0</v>
      </c>
      <c r="U251" s="503">
        <f t="shared" si="423"/>
        <v>160424</v>
      </c>
      <c r="V251" s="503">
        <f t="shared" si="423"/>
        <v>38000</v>
      </c>
      <c r="W251" s="503">
        <f t="shared" si="423"/>
        <v>0</v>
      </c>
      <c r="X251" s="503">
        <f t="shared" si="423"/>
        <v>0</v>
      </c>
      <c r="Y251" s="503">
        <f t="shared" si="423"/>
        <v>38000</v>
      </c>
      <c r="Z251" s="503">
        <f t="shared" si="423"/>
        <v>198424</v>
      </c>
      <c r="AA251" s="503">
        <f t="shared" si="423"/>
        <v>67067</v>
      </c>
      <c r="AB251" s="503">
        <f t="shared" si="423"/>
        <v>1604</v>
      </c>
      <c r="AC251" s="503">
        <f t="shared" si="423"/>
        <v>0</v>
      </c>
      <c r="AD251" s="891">
        <f t="shared" si="423"/>
        <v>267095</v>
      </c>
      <c r="AE251" s="701">
        <f t="shared" si="423"/>
        <v>-0.03</v>
      </c>
      <c r="AF251" s="701">
        <f t="shared" si="423"/>
        <v>0.5</v>
      </c>
      <c r="AG251" s="502">
        <f t="shared" si="423"/>
        <v>0</v>
      </c>
      <c r="AH251" s="502">
        <f t="shared" si="423"/>
        <v>0</v>
      </c>
      <c r="AI251" s="502">
        <f t="shared" si="423"/>
        <v>0</v>
      </c>
      <c r="AJ251" s="502">
        <f t="shared" si="423"/>
        <v>0</v>
      </c>
      <c r="AK251" s="630">
        <f t="shared" si="423"/>
        <v>0.47</v>
      </c>
      <c r="AL251" s="629">
        <f t="shared" si="423"/>
        <v>4504203</v>
      </c>
      <c r="AM251" s="503">
        <f t="shared" si="423"/>
        <v>3303679</v>
      </c>
      <c r="AN251" s="552">
        <f t="shared" si="423"/>
        <v>38000</v>
      </c>
      <c r="AO251" s="503">
        <f t="shared" si="423"/>
        <v>1129487</v>
      </c>
      <c r="AP251" s="503">
        <f t="shared" si="423"/>
        <v>33037</v>
      </c>
      <c r="AQ251" s="503">
        <f t="shared" si="423"/>
        <v>0</v>
      </c>
      <c r="AR251" s="630">
        <f t="shared" si="423"/>
        <v>5.8704000000000001</v>
      </c>
    </row>
    <row r="252" spans="1:44" ht="14.1" customHeight="1" x14ac:dyDescent="0.2">
      <c r="A252" s="499">
        <v>63</v>
      </c>
      <c r="B252" s="512">
        <v>2403</v>
      </c>
      <c r="C252" s="513">
        <v>600078931</v>
      </c>
      <c r="D252" s="512">
        <v>72744324</v>
      </c>
      <c r="E252" s="511" t="s">
        <v>642</v>
      </c>
      <c r="F252" s="499">
        <v>3111</v>
      </c>
      <c r="G252" s="511" t="s">
        <v>277</v>
      </c>
      <c r="H252" s="495" t="s">
        <v>262</v>
      </c>
      <c r="I252" s="627">
        <f t="shared" si="348"/>
        <v>6170404</v>
      </c>
      <c r="J252" s="14">
        <v>4577451</v>
      </c>
      <c r="K252" s="14">
        <v>1547178</v>
      </c>
      <c r="L252" s="14">
        <v>45775</v>
      </c>
      <c r="M252" s="14">
        <v>0</v>
      </c>
      <c r="N252" s="121">
        <v>8</v>
      </c>
      <c r="O252" s="696">
        <f t="shared" si="349"/>
        <v>0</v>
      </c>
      <c r="P252" s="492">
        <v>0</v>
      </c>
      <c r="Q252" s="492">
        <v>0</v>
      </c>
      <c r="R252" s="492">
        <v>0</v>
      </c>
      <c r="S252" s="492">
        <v>0</v>
      </c>
      <c r="T252" s="492">
        <v>0</v>
      </c>
      <c r="U252" s="492">
        <f>O252+P252+Q252+R252+S252+T252</f>
        <v>0</v>
      </c>
      <c r="V252" s="492">
        <v>0</v>
      </c>
      <c r="W252" s="492">
        <v>0</v>
      </c>
      <c r="X252" s="492">
        <v>0</v>
      </c>
      <c r="Y252" s="492">
        <f t="shared" ref="Y252:Y253" si="424">V252+W252+X252</f>
        <v>0</v>
      </c>
      <c r="Z252" s="492">
        <f t="shared" ref="Z252:Z253" si="425">U252+Y252</f>
        <v>0</v>
      </c>
      <c r="AA252" s="494">
        <f t="shared" ref="AA252:AA253" si="426">ROUND((U252+Y252)*33.8%,0)</f>
        <v>0</v>
      </c>
      <c r="AB252" s="494">
        <f>ROUND(U252*1%,0)</f>
        <v>0</v>
      </c>
      <c r="AC252" s="14">
        <v>0</v>
      </c>
      <c r="AD252" s="892">
        <f t="shared" si="350"/>
        <v>0</v>
      </c>
      <c r="AE252" s="702">
        <v>0</v>
      </c>
      <c r="AF252" s="702">
        <v>0</v>
      </c>
      <c r="AG252" s="491">
        <v>0</v>
      </c>
      <c r="AH252" s="491">
        <v>0</v>
      </c>
      <c r="AI252" s="491">
        <v>0</v>
      </c>
      <c r="AJ252" s="491">
        <v>0</v>
      </c>
      <c r="AK252" s="626">
        <f>SUM(AE252:AJ252)</f>
        <v>0</v>
      </c>
      <c r="AL252" s="696">
        <f>I252+AD252</f>
        <v>6170404</v>
      </c>
      <c r="AM252" s="492">
        <f>J252+U252</f>
        <v>4577451</v>
      </c>
      <c r="AN252" s="492">
        <f>Y252</f>
        <v>0</v>
      </c>
      <c r="AO252" s="492">
        <f t="shared" ref="AO252:AQ253" si="427">K252+AA252</f>
        <v>1547178</v>
      </c>
      <c r="AP252" s="492">
        <f t="shared" si="427"/>
        <v>45775</v>
      </c>
      <c r="AQ252" s="578">
        <f t="shared" si="427"/>
        <v>0</v>
      </c>
      <c r="AR252" s="626">
        <f>N252+AK252</f>
        <v>8</v>
      </c>
    </row>
    <row r="253" spans="1:44" ht="14.1" customHeight="1" x14ac:dyDescent="0.2">
      <c r="A253" s="499">
        <v>63</v>
      </c>
      <c r="B253" s="512">
        <v>2403</v>
      </c>
      <c r="C253" s="513">
        <v>600078931</v>
      </c>
      <c r="D253" s="512">
        <v>72744324</v>
      </c>
      <c r="E253" s="511" t="s">
        <v>642</v>
      </c>
      <c r="F253" s="499">
        <v>3111</v>
      </c>
      <c r="G253" s="514" t="s">
        <v>278</v>
      </c>
      <c r="H253" s="495" t="s">
        <v>263</v>
      </c>
      <c r="I253" s="627">
        <f t="shared" si="348"/>
        <v>0</v>
      </c>
      <c r="J253" s="490">
        <v>0</v>
      </c>
      <c r="K253" s="14">
        <v>0</v>
      </c>
      <c r="L253" s="14">
        <v>0</v>
      </c>
      <c r="M253" s="14">
        <v>0</v>
      </c>
      <c r="N253" s="682">
        <v>0</v>
      </c>
      <c r="O253" s="696">
        <f t="shared" si="349"/>
        <v>0</v>
      </c>
      <c r="P253" s="490">
        <v>1387257</v>
      </c>
      <c r="Q253" s="492">
        <v>0</v>
      </c>
      <c r="R253" s="492">
        <v>0</v>
      </c>
      <c r="S253" s="492">
        <v>0</v>
      </c>
      <c r="T253" s="492">
        <v>0</v>
      </c>
      <c r="U253" s="492">
        <f>O253+P253+Q253+R253+S253+T253</f>
        <v>1387257</v>
      </c>
      <c r="V253" s="492">
        <v>0</v>
      </c>
      <c r="W253" s="492">
        <v>0</v>
      </c>
      <c r="X253" s="492">
        <v>0</v>
      </c>
      <c r="Y253" s="492">
        <f t="shared" si="424"/>
        <v>0</v>
      </c>
      <c r="Z253" s="492">
        <f t="shared" si="425"/>
        <v>1387257</v>
      </c>
      <c r="AA253" s="494">
        <f t="shared" si="426"/>
        <v>468893</v>
      </c>
      <c r="AB253" s="494">
        <f>ROUND(U253*1%,0)</f>
        <v>13873</v>
      </c>
      <c r="AC253" s="14">
        <v>0</v>
      </c>
      <c r="AD253" s="892">
        <f t="shared" si="350"/>
        <v>1870023</v>
      </c>
      <c r="AE253" s="702">
        <v>0</v>
      </c>
      <c r="AF253" s="121">
        <v>3.75</v>
      </c>
      <c r="AG253" s="491">
        <v>0</v>
      </c>
      <c r="AH253" s="491">
        <v>0</v>
      </c>
      <c r="AI253" s="491">
        <v>0</v>
      </c>
      <c r="AJ253" s="491">
        <v>0</v>
      </c>
      <c r="AK253" s="626">
        <f>SUM(AE253:AJ253)</f>
        <v>3.75</v>
      </c>
      <c r="AL253" s="696">
        <f>I253+AD253</f>
        <v>1870023</v>
      </c>
      <c r="AM253" s="492">
        <f>J253+U253</f>
        <v>1387257</v>
      </c>
      <c r="AN253" s="492">
        <f>Y253</f>
        <v>0</v>
      </c>
      <c r="AO253" s="492">
        <f t="shared" si="427"/>
        <v>468893</v>
      </c>
      <c r="AP253" s="492">
        <f t="shared" si="427"/>
        <v>13873</v>
      </c>
      <c r="AQ253" s="578">
        <f t="shared" si="427"/>
        <v>0</v>
      </c>
      <c r="AR253" s="626">
        <f>N253+AK253</f>
        <v>3.75</v>
      </c>
    </row>
    <row r="254" spans="1:44" ht="14.1" customHeight="1" x14ac:dyDescent="0.2">
      <c r="A254" s="510">
        <v>63</v>
      </c>
      <c r="B254" s="508">
        <v>2403</v>
      </c>
      <c r="C254" s="509">
        <v>600078931</v>
      </c>
      <c r="D254" s="508">
        <v>72744324</v>
      </c>
      <c r="E254" s="506" t="s">
        <v>643</v>
      </c>
      <c r="F254" s="510"/>
      <c r="G254" s="506"/>
      <c r="H254" s="505"/>
      <c r="I254" s="629">
        <f t="shared" ref="I254:N254" si="428">SUM(I252:I253)</f>
        <v>6170404</v>
      </c>
      <c r="J254" s="504">
        <f t="shared" si="428"/>
        <v>4577451</v>
      </c>
      <c r="K254" s="504">
        <f t="shared" si="428"/>
        <v>1547178</v>
      </c>
      <c r="L254" s="504">
        <f t="shared" si="428"/>
        <v>45775</v>
      </c>
      <c r="M254" s="504">
        <f t="shared" si="428"/>
        <v>0</v>
      </c>
      <c r="N254" s="885">
        <f t="shared" si="428"/>
        <v>8</v>
      </c>
      <c r="O254" s="629">
        <f t="shared" ref="O254:AR254" si="429">SUM(O252:O253)</f>
        <v>0</v>
      </c>
      <c r="P254" s="503">
        <f t="shared" si="429"/>
        <v>1387257</v>
      </c>
      <c r="Q254" s="503">
        <f t="shared" si="429"/>
        <v>0</v>
      </c>
      <c r="R254" s="503">
        <f t="shared" si="429"/>
        <v>0</v>
      </c>
      <c r="S254" s="503">
        <f t="shared" si="429"/>
        <v>0</v>
      </c>
      <c r="T254" s="503">
        <f t="shared" si="429"/>
        <v>0</v>
      </c>
      <c r="U254" s="503">
        <f t="shared" si="429"/>
        <v>1387257</v>
      </c>
      <c r="V254" s="503">
        <f t="shared" si="429"/>
        <v>0</v>
      </c>
      <c r="W254" s="503">
        <f t="shared" si="429"/>
        <v>0</v>
      </c>
      <c r="X254" s="503">
        <f t="shared" si="429"/>
        <v>0</v>
      </c>
      <c r="Y254" s="503">
        <f t="shared" si="429"/>
        <v>0</v>
      </c>
      <c r="Z254" s="503">
        <f t="shared" si="429"/>
        <v>1387257</v>
      </c>
      <c r="AA254" s="503">
        <f t="shared" si="429"/>
        <v>468893</v>
      </c>
      <c r="AB254" s="503">
        <f t="shared" si="429"/>
        <v>13873</v>
      </c>
      <c r="AC254" s="503">
        <f t="shared" si="429"/>
        <v>0</v>
      </c>
      <c r="AD254" s="891">
        <f t="shared" si="429"/>
        <v>1870023</v>
      </c>
      <c r="AE254" s="701">
        <f t="shared" si="429"/>
        <v>0</v>
      </c>
      <c r="AF254" s="701">
        <f t="shared" si="429"/>
        <v>3.75</v>
      </c>
      <c r="AG254" s="502">
        <f t="shared" si="429"/>
        <v>0</v>
      </c>
      <c r="AH254" s="502">
        <f t="shared" si="429"/>
        <v>0</v>
      </c>
      <c r="AI254" s="502">
        <f t="shared" si="429"/>
        <v>0</v>
      </c>
      <c r="AJ254" s="502">
        <f t="shared" si="429"/>
        <v>0</v>
      </c>
      <c r="AK254" s="630">
        <f t="shared" si="429"/>
        <v>3.75</v>
      </c>
      <c r="AL254" s="629">
        <f t="shared" si="429"/>
        <v>8040427</v>
      </c>
      <c r="AM254" s="503">
        <f t="shared" si="429"/>
        <v>5964708</v>
      </c>
      <c r="AN254" s="552">
        <f t="shared" si="429"/>
        <v>0</v>
      </c>
      <c r="AO254" s="503">
        <f t="shared" si="429"/>
        <v>2016071</v>
      </c>
      <c r="AP254" s="503">
        <f t="shared" si="429"/>
        <v>59648</v>
      </c>
      <c r="AQ254" s="503">
        <f t="shared" si="429"/>
        <v>0</v>
      </c>
      <c r="AR254" s="630">
        <f t="shared" si="429"/>
        <v>11.75</v>
      </c>
    </row>
    <row r="255" spans="1:44" ht="14.1" customHeight="1" x14ac:dyDescent="0.2">
      <c r="A255" s="499">
        <v>64</v>
      </c>
      <c r="B255" s="512">
        <v>2458</v>
      </c>
      <c r="C255" s="513">
        <v>600079741</v>
      </c>
      <c r="D255" s="512">
        <v>72744243</v>
      </c>
      <c r="E255" s="511" t="s">
        <v>644</v>
      </c>
      <c r="F255" s="499">
        <v>3113</v>
      </c>
      <c r="G255" s="511" t="s">
        <v>280</v>
      </c>
      <c r="H255" s="495" t="s">
        <v>262</v>
      </c>
      <c r="I255" s="627">
        <f t="shared" si="348"/>
        <v>22751390</v>
      </c>
      <c r="J255" s="14">
        <v>16877886</v>
      </c>
      <c r="K255" s="14">
        <v>5704725</v>
      </c>
      <c r="L255" s="14">
        <v>168779</v>
      </c>
      <c r="M255" s="14">
        <v>0</v>
      </c>
      <c r="N255" s="121">
        <v>24.3523</v>
      </c>
      <c r="O255" s="696">
        <f t="shared" si="349"/>
        <v>-15000</v>
      </c>
      <c r="P255" s="492">
        <v>0</v>
      </c>
      <c r="Q255" s="492">
        <v>29190</v>
      </c>
      <c r="R255" s="492">
        <v>0</v>
      </c>
      <c r="S255" s="492">
        <v>0</v>
      </c>
      <c r="T255" s="492">
        <v>0</v>
      </c>
      <c r="U255" s="492">
        <f>O255+P255+Q255+R255+S255+T255</f>
        <v>14190</v>
      </c>
      <c r="V255" s="492">
        <v>15000</v>
      </c>
      <c r="W255" s="492">
        <v>0</v>
      </c>
      <c r="X255" s="492">
        <v>0</v>
      </c>
      <c r="Y255" s="492">
        <f t="shared" ref="Y255:Y257" si="430">V255+W255+X255</f>
        <v>15000</v>
      </c>
      <c r="Z255" s="492">
        <f t="shared" ref="Z255:Z257" si="431">U255+Y255</f>
        <v>29190</v>
      </c>
      <c r="AA255" s="494">
        <f t="shared" ref="AA255:AA257" si="432">ROUND((U255+Y255)*33.8%,0)</f>
        <v>9866</v>
      </c>
      <c r="AB255" s="494">
        <f>ROUND(U255*1%,0)</f>
        <v>142</v>
      </c>
      <c r="AC255" s="14">
        <v>0</v>
      </c>
      <c r="AD255" s="892">
        <f t="shared" si="350"/>
        <v>39198</v>
      </c>
      <c r="AE255" s="702">
        <v>0</v>
      </c>
      <c r="AF255" s="702">
        <v>0</v>
      </c>
      <c r="AG255" s="491">
        <v>0</v>
      </c>
      <c r="AH255" s="491">
        <v>0.04</v>
      </c>
      <c r="AI255" s="491">
        <v>0</v>
      </c>
      <c r="AJ255" s="491">
        <v>0</v>
      </c>
      <c r="AK255" s="626">
        <f>SUM(AE255:AJ255)</f>
        <v>0.04</v>
      </c>
      <c r="AL255" s="696">
        <f>I255+AD255</f>
        <v>22790588</v>
      </c>
      <c r="AM255" s="492">
        <f>J255+U255</f>
        <v>16892076</v>
      </c>
      <c r="AN255" s="492">
        <f>Y255</f>
        <v>15000</v>
      </c>
      <c r="AO255" s="492">
        <f t="shared" ref="AO255:AQ257" si="433">K255+AA255</f>
        <v>5714591</v>
      </c>
      <c r="AP255" s="492">
        <f t="shared" si="433"/>
        <v>168921</v>
      </c>
      <c r="AQ255" s="578">
        <f t="shared" si="433"/>
        <v>0</v>
      </c>
      <c r="AR255" s="626">
        <f>N255+AK255</f>
        <v>24.392299999999999</v>
      </c>
    </row>
    <row r="256" spans="1:44" ht="14.1" customHeight="1" x14ac:dyDescent="0.2">
      <c r="A256" s="499">
        <v>64</v>
      </c>
      <c r="B256" s="512">
        <v>2458</v>
      </c>
      <c r="C256" s="513">
        <v>600079741</v>
      </c>
      <c r="D256" s="512">
        <v>72744243</v>
      </c>
      <c r="E256" s="511" t="s">
        <v>644</v>
      </c>
      <c r="F256" s="499">
        <v>3113</v>
      </c>
      <c r="G256" s="514" t="s">
        <v>278</v>
      </c>
      <c r="H256" s="495" t="s">
        <v>263</v>
      </c>
      <c r="I256" s="627">
        <f t="shared" si="348"/>
        <v>0</v>
      </c>
      <c r="J256" s="490">
        <v>0</v>
      </c>
      <c r="K256" s="14">
        <v>0</v>
      </c>
      <c r="L256" s="14">
        <v>0</v>
      </c>
      <c r="M256" s="14">
        <v>0</v>
      </c>
      <c r="N256" s="682">
        <v>0</v>
      </c>
      <c r="O256" s="696">
        <f t="shared" si="349"/>
        <v>0</v>
      </c>
      <c r="P256" s="490">
        <f>1584784+323361</f>
        <v>1908145</v>
      </c>
      <c r="Q256" s="492">
        <v>0</v>
      </c>
      <c r="R256" s="492">
        <v>0</v>
      </c>
      <c r="S256" s="492">
        <v>0</v>
      </c>
      <c r="T256" s="492">
        <v>0</v>
      </c>
      <c r="U256" s="492">
        <f>O256+P256+Q256+R256+S256+T256</f>
        <v>1908145</v>
      </c>
      <c r="V256" s="492">
        <v>0</v>
      </c>
      <c r="W256" s="492">
        <v>0</v>
      </c>
      <c r="X256" s="492">
        <v>0</v>
      </c>
      <c r="Y256" s="492">
        <f t="shared" si="430"/>
        <v>0</v>
      </c>
      <c r="Z256" s="492">
        <f t="shared" si="431"/>
        <v>1908145</v>
      </c>
      <c r="AA256" s="494">
        <f t="shared" si="432"/>
        <v>644953</v>
      </c>
      <c r="AB256" s="494">
        <f>ROUND(U256*1%,0)</f>
        <v>19081</v>
      </c>
      <c r="AC256" s="14">
        <v>0</v>
      </c>
      <c r="AD256" s="892">
        <f t="shared" si="350"/>
        <v>2572179</v>
      </c>
      <c r="AE256" s="702">
        <v>0</v>
      </c>
      <c r="AF256" s="121">
        <f>4.09+0.82</f>
        <v>4.91</v>
      </c>
      <c r="AG256" s="491">
        <v>0</v>
      </c>
      <c r="AH256" s="491">
        <v>0</v>
      </c>
      <c r="AI256" s="491">
        <v>0</v>
      </c>
      <c r="AJ256" s="491">
        <v>0</v>
      </c>
      <c r="AK256" s="626">
        <f>SUM(AE256:AJ256)</f>
        <v>4.91</v>
      </c>
      <c r="AL256" s="696">
        <f>I256+AD256</f>
        <v>2572179</v>
      </c>
      <c r="AM256" s="492">
        <f>J256+U256</f>
        <v>1908145</v>
      </c>
      <c r="AN256" s="492">
        <f>Y256</f>
        <v>0</v>
      </c>
      <c r="AO256" s="492">
        <f t="shared" si="433"/>
        <v>644953</v>
      </c>
      <c r="AP256" s="492">
        <f t="shared" si="433"/>
        <v>19081</v>
      </c>
      <c r="AQ256" s="578">
        <f t="shared" si="433"/>
        <v>0</v>
      </c>
      <c r="AR256" s="626">
        <f>N256+AK256</f>
        <v>4.91</v>
      </c>
    </row>
    <row r="257" spans="1:44" ht="14.1" customHeight="1" x14ac:dyDescent="0.2">
      <c r="A257" s="499">
        <v>64</v>
      </c>
      <c r="B257" s="512">
        <v>2458</v>
      </c>
      <c r="C257" s="513">
        <v>600079741</v>
      </c>
      <c r="D257" s="512">
        <v>72744243</v>
      </c>
      <c r="E257" s="511" t="s">
        <v>644</v>
      </c>
      <c r="F257" s="499">
        <v>3143</v>
      </c>
      <c r="G257" s="514" t="s">
        <v>794</v>
      </c>
      <c r="H257" s="495" t="s">
        <v>262</v>
      </c>
      <c r="I257" s="627">
        <f t="shared" si="348"/>
        <v>3072948</v>
      </c>
      <c r="J257" s="14">
        <v>2279635</v>
      </c>
      <c r="K257" s="14">
        <v>770517</v>
      </c>
      <c r="L257" s="14">
        <v>22796</v>
      </c>
      <c r="M257" s="14">
        <v>0</v>
      </c>
      <c r="N257" s="121">
        <v>4.4218000000000002</v>
      </c>
      <c r="O257" s="696">
        <f t="shared" si="349"/>
        <v>0</v>
      </c>
      <c r="P257" s="492">
        <v>0</v>
      </c>
      <c r="Q257" s="492">
        <v>0</v>
      </c>
      <c r="R257" s="492">
        <v>0</v>
      </c>
      <c r="S257" s="492">
        <v>0</v>
      </c>
      <c r="T257" s="492">
        <v>0</v>
      </c>
      <c r="U257" s="492">
        <f>O257+P257+Q257+R257+S257+T257</f>
        <v>0</v>
      </c>
      <c r="V257" s="492">
        <v>0</v>
      </c>
      <c r="W257" s="492">
        <v>0</v>
      </c>
      <c r="X257" s="492">
        <v>0</v>
      </c>
      <c r="Y257" s="492">
        <f t="shared" si="430"/>
        <v>0</v>
      </c>
      <c r="Z257" s="492">
        <f t="shared" si="431"/>
        <v>0</v>
      </c>
      <c r="AA257" s="494">
        <f t="shared" si="432"/>
        <v>0</v>
      </c>
      <c r="AB257" s="494">
        <f>ROUND(U257*1%,0)</f>
        <v>0</v>
      </c>
      <c r="AC257" s="14">
        <v>0</v>
      </c>
      <c r="AD257" s="892">
        <f t="shared" si="350"/>
        <v>0</v>
      </c>
      <c r="AE257" s="702">
        <v>0</v>
      </c>
      <c r="AF257" s="702">
        <v>0</v>
      </c>
      <c r="AG257" s="491">
        <v>0</v>
      </c>
      <c r="AH257" s="491">
        <v>0</v>
      </c>
      <c r="AI257" s="491">
        <v>0</v>
      </c>
      <c r="AJ257" s="491">
        <v>0</v>
      </c>
      <c r="AK257" s="626">
        <f>SUM(AE257:AJ257)</f>
        <v>0</v>
      </c>
      <c r="AL257" s="696">
        <f>I257+AD257</f>
        <v>3072948</v>
      </c>
      <c r="AM257" s="492">
        <f>J257+U257</f>
        <v>2279635</v>
      </c>
      <c r="AN257" s="492">
        <f>Y257</f>
        <v>0</v>
      </c>
      <c r="AO257" s="492">
        <f t="shared" si="433"/>
        <v>770517</v>
      </c>
      <c r="AP257" s="492">
        <f t="shared" si="433"/>
        <v>22796</v>
      </c>
      <c r="AQ257" s="578">
        <f t="shared" si="433"/>
        <v>0</v>
      </c>
      <c r="AR257" s="626">
        <f>N257+AK257</f>
        <v>4.4218000000000002</v>
      </c>
    </row>
    <row r="258" spans="1:44" ht="14.1" customHeight="1" x14ac:dyDescent="0.2">
      <c r="A258" s="510">
        <v>64</v>
      </c>
      <c r="B258" s="508">
        <v>2458</v>
      </c>
      <c r="C258" s="509">
        <v>600079741</v>
      </c>
      <c r="D258" s="508">
        <v>72744243</v>
      </c>
      <c r="E258" s="506" t="s">
        <v>645</v>
      </c>
      <c r="F258" s="510"/>
      <c r="G258" s="506"/>
      <c r="H258" s="505"/>
      <c r="I258" s="629">
        <f t="shared" ref="I258:AR258" si="434">SUM(I255:I257)</f>
        <v>25824338</v>
      </c>
      <c r="J258" s="504">
        <f t="shared" si="434"/>
        <v>19157521</v>
      </c>
      <c r="K258" s="504">
        <f t="shared" si="434"/>
        <v>6475242</v>
      </c>
      <c r="L258" s="504">
        <f t="shared" si="434"/>
        <v>191575</v>
      </c>
      <c r="M258" s="504">
        <f t="shared" si="434"/>
        <v>0</v>
      </c>
      <c r="N258" s="885">
        <f t="shared" si="434"/>
        <v>28.774100000000001</v>
      </c>
      <c r="O258" s="629">
        <f t="shared" si="434"/>
        <v>-15000</v>
      </c>
      <c r="P258" s="503">
        <f t="shared" si="434"/>
        <v>1908145</v>
      </c>
      <c r="Q258" s="503">
        <f t="shared" si="434"/>
        <v>29190</v>
      </c>
      <c r="R258" s="503">
        <f t="shared" si="434"/>
        <v>0</v>
      </c>
      <c r="S258" s="503">
        <f t="shared" si="434"/>
        <v>0</v>
      </c>
      <c r="T258" s="503">
        <f t="shared" si="434"/>
        <v>0</v>
      </c>
      <c r="U258" s="503">
        <f t="shared" si="434"/>
        <v>1922335</v>
      </c>
      <c r="V258" s="503">
        <f t="shared" si="434"/>
        <v>15000</v>
      </c>
      <c r="W258" s="503">
        <f t="shared" si="434"/>
        <v>0</v>
      </c>
      <c r="X258" s="503">
        <f t="shared" si="434"/>
        <v>0</v>
      </c>
      <c r="Y258" s="503">
        <f t="shared" si="434"/>
        <v>15000</v>
      </c>
      <c r="Z258" s="503">
        <f t="shared" si="434"/>
        <v>1937335</v>
      </c>
      <c r="AA258" s="503">
        <f t="shared" si="434"/>
        <v>654819</v>
      </c>
      <c r="AB258" s="503">
        <f t="shared" si="434"/>
        <v>19223</v>
      </c>
      <c r="AC258" s="503">
        <f t="shared" si="434"/>
        <v>0</v>
      </c>
      <c r="AD258" s="891">
        <f t="shared" si="434"/>
        <v>2611377</v>
      </c>
      <c r="AE258" s="701">
        <f t="shared" si="434"/>
        <v>0</v>
      </c>
      <c r="AF258" s="701">
        <f t="shared" si="434"/>
        <v>4.91</v>
      </c>
      <c r="AG258" s="502">
        <f t="shared" si="434"/>
        <v>0</v>
      </c>
      <c r="AH258" s="502">
        <f t="shared" si="434"/>
        <v>0.04</v>
      </c>
      <c r="AI258" s="502">
        <f t="shared" si="434"/>
        <v>0</v>
      </c>
      <c r="AJ258" s="502">
        <f t="shared" si="434"/>
        <v>0</v>
      </c>
      <c r="AK258" s="630">
        <f t="shared" si="434"/>
        <v>4.95</v>
      </c>
      <c r="AL258" s="629">
        <f t="shared" si="434"/>
        <v>28435715</v>
      </c>
      <c r="AM258" s="503">
        <f t="shared" si="434"/>
        <v>21079856</v>
      </c>
      <c r="AN258" s="552">
        <f t="shared" si="434"/>
        <v>15000</v>
      </c>
      <c r="AO258" s="503">
        <f t="shared" si="434"/>
        <v>7130061</v>
      </c>
      <c r="AP258" s="503">
        <f t="shared" si="434"/>
        <v>210798</v>
      </c>
      <c r="AQ258" s="503">
        <f t="shared" si="434"/>
        <v>0</v>
      </c>
      <c r="AR258" s="630">
        <f t="shared" si="434"/>
        <v>33.7241</v>
      </c>
    </row>
    <row r="259" spans="1:44" ht="14.1" customHeight="1" x14ac:dyDescent="0.2">
      <c r="A259" s="499">
        <v>65</v>
      </c>
      <c r="B259" s="512">
        <v>2316</v>
      </c>
      <c r="C259" s="513">
        <v>600080439</v>
      </c>
      <c r="D259" s="512">
        <v>70983224</v>
      </c>
      <c r="E259" s="511" t="s">
        <v>646</v>
      </c>
      <c r="F259" s="499">
        <v>3233</v>
      </c>
      <c r="G259" s="511" t="s">
        <v>283</v>
      </c>
      <c r="H259" s="495" t="s">
        <v>263</v>
      </c>
      <c r="I259" s="627">
        <f t="shared" si="348"/>
        <v>2299691</v>
      </c>
      <c r="J259" s="490">
        <v>1706002</v>
      </c>
      <c r="K259" s="14">
        <f>ROUND(J259*33.8%,0)</f>
        <v>576629</v>
      </c>
      <c r="L259" s="14">
        <f>ROUND(J259*1%,0)</f>
        <v>17060</v>
      </c>
      <c r="M259" s="14">
        <v>0</v>
      </c>
      <c r="N259" s="682">
        <v>2.89</v>
      </c>
      <c r="O259" s="696">
        <f t="shared" si="349"/>
        <v>-100000</v>
      </c>
      <c r="P259" s="492">
        <v>0</v>
      </c>
      <c r="Q259" s="492">
        <v>0</v>
      </c>
      <c r="R259" s="492">
        <v>0</v>
      </c>
      <c r="S259" s="492">
        <v>0</v>
      </c>
      <c r="T259" s="492">
        <v>0</v>
      </c>
      <c r="U259" s="492">
        <f>O259+P259+Q259+R259+S259+T259</f>
        <v>-100000</v>
      </c>
      <c r="V259" s="492">
        <v>100000</v>
      </c>
      <c r="W259" s="492">
        <v>0</v>
      </c>
      <c r="X259" s="492">
        <v>0</v>
      </c>
      <c r="Y259" s="492">
        <f>V259+W259+X259</f>
        <v>100000</v>
      </c>
      <c r="Z259" s="492">
        <f>U259+Y259</f>
        <v>0</v>
      </c>
      <c r="AA259" s="494">
        <f>ROUND((U259+Y259)*33.8%,0)</f>
        <v>0</v>
      </c>
      <c r="AB259" s="494">
        <f>ROUND(U259*1%,0)</f>
        <v>-1000</v>
      </c>
      <c r="AC259" s="14">
        <v>0</v>
      </c>
      <c r="AD259" s="892">
        <f t="shared" si="350"/>
        <v>-1000</v>
      </c>
      <c r="AE259" s="702">
        <v>-0.17</v>
      </c>
      <c r="AF259" s="702">
        <v>0</v>
      </c>
      <c r="AG259" s="491">
        <v>0</v>
      </c>
      <c r="AH259" s="491">
        <v>0</v>
      </c>
      <c r="AI259" s="491">
        <v>0</v>
      </c>
      <c r="AJ259" s="491">
        <v>0</v>
      </c>
      <c r="AK259" s="626">
        <f>SUM(AE259:AJ259)</f>
        <v>-0.17</v>
      </c>
      <c r="AL259" s="696">
        <f>I259+AD259</f>
        <v>2298691</v>
      </c>
      <c r="AM259" s="492">
        <f>J259+U259</f>
        <v>1606002</v>
      </c>
      <c r="AN259" s="492">
        <f>Y259</f>
        <v>100000</v>
      </c>
      <c r="AO259" s="492">
        <f>K259+AA259</f>
        <v>576629</v>
      </c>
      <c r="AP259" s="492">
        <f>L259+AB259</f>
        <v>16060</v>
      </c>
      <c r="AQ259" s="578">
        <f>M259+AC259</f>
        <v>0</v>
      </c>
      <c r="AR259" s="626">
        <f>N259+AK259</f>
        <v>2.72</v>
      </c>
    </row>
    <row r="260" spans="1:44" ht="14.1" customHeight="1" x14ac:dyDescent="0.2">
      <c r="A260" s="510">
        <v>65</v>
      </c>
      <c r="B260" s="508">
        <v>2316</v>
      </c>
      <c r="C260" s="509">
        <v>600080439</v>
      </c>
      <c r="D260" s="508">
        <v>70983224</v>
      </c>
      <c r="E260" s="506" t="s">
        <v>647</v>
      </c>
      <c r="F260" s="510"/>
      <c r="G260" s="506"/>
      <c r="H260" s="505"/>
      <c r="I260" s="629">
        <f t="shared" ref="I260:N260" si="435">SUM(I259)</f>
        <v>2299691</v>
      </c>
      <c r="J260" s="504">
        <f t="shared" si="435"/>
        <v>1706002</v>
      </c>
      <c r="K260" s="504">
        <f t="shared" si="435"/>
        <v>576629</v>
      </c>
      <c r="L260" s="504">
        <f t="shared" si="435"/>
        <v>17060</v>
      </c>
      <c r="M260" s="504">
        <f t="shared" si="435"/>
        <v>0</v>
      </c>
      <c r="N260" s="885">
        <f t="shared" si="435"/>
        <v>2.89</v>
      </c>
      <c r="O260" s="629">
        <f t="shared" ref="O260:AN260" si="436">SUM(O259)</f>
        <v>-100000</v>
      </c>
      <c r="P260" s="503">
        <f t="shared" si="436"/>
        <v>0</v>
      </c>
      <c r="Q260" s="503">
        <f t="shared" si="436"/>
        <v>0</v>
      </c>
      <c r="R260" s="503">
        <f t="shared" si="436"/>
        <v>0</v>
      </c>
      <c r="S260" s="503">
        <f t="shared" si="436"/>
        <v>0</v>
      </c>
      <c r="T260" s="503">
        <f t="shared" si="436"/>
        <v>0</v>
      </c>
      <c r="U260" s="503">
        <f t="shared" si="436"/>
        <v>-100000</v>
      </c>
      <c r="V260" s="503">
        <f t="shared" si="436"/>
        <v>100000</v>
      </c>
      <c r="W260" s="503">
        <f t="shared" si="436"/>
        <v>0</v>
      </c>
      <c r="X260" s="503">
        <f t="shared" si="436"/>
        <v>0</v>
      </c>
      <c r="Y260" s="503">
        <f t="shared" si="436"/>
        <v>100000</v>
      </c>
      <c r="Z260" s="503">
        <f t="shared" si="436"/>
        <v>0</v>
      </c>
      <c r="AA260" s="503">
        <f t="shared" si="436"/>
        <v>0</v>
      </c>
      <c r="AB260" s="503">
        <f t="shared" si="436"/>
        <v>-1000</v>
      </c>
      <c r="AC260" s="503">
        <f t="shared" si="436"/>
        <v>0</v>
      </c>
      <c r="AD260" s="891">
        <f t="shared" si="436"/>
        <v>-1000</v>
      </c>
      <c r="AE260" s="701">
        <f t="shared" si="436"/>
        <v>-0.17</v>
      </c>
      <c r="AF260" s="701">
        <f t="shared" si="436"/>
        <v>0</v>
      </c>
      <c r="AG260" s="502">
        <f t="shared" si="436"/>
        <v>0</v>
      </c>
      <c r="AH260" s="502">
        <f t="shared" si="436"/>
        <v>0</v>
      </c>
      <c r="AI260" s="502">
        <f t="shared" si="436"/>
        <v>0</v>
      </c>
      <c r="AJ260" s="502">
        <f t="shared" si="436"/>
        <v>0</v>
      </c>
      <c r="AK260" s="630">
        <f t="shared" si="436"/>
        <v>-0.17</v>
      </c>
      <c r="AL260" s="629">
        <f t="shared" si="436"/>
        <v>2298691</v>
      </c>
      <c r="AM260" s="503">
        <f t="shared" si="436"/>
        <v>1606002</v>
      </c>
      <c r="AN260" s="552">
        <f t="shared" si="436"/>
        <v>100000</v>
      </c>
      <c r="AO260" s="503">
        <f t="shared" ref="AO260:AR260" si="437">SUM(AO259)</f>
        <v>576629</v>
      </c>
      <c r="AP260" s="503">
        <f t="shared" si="437"/>
        <v>16060</v>
      </c>
      <c r="AQ260" s="503">
        <f t="shared" si="437"/>
        <v>0</v>
      </c>
      <c r="AR260" s="630">
        <f t="shared" si="437"/>
        <v>2.72</v>
      </c>
    </row>
    <row r="261" spans="1:44" ht="14.1" customHeight="1" x14ac:dyDescent="0.2">
      <c r="A261" s="499">
        <v>66</v>
      </c>
      <c r="B261" s="512">
        <v>2402</v>
      </c>
      <c r="C261" s="513">
        <v>600078949</v>
      </c>
      <c r="D261" s="512">
        <v>70983208</v>
      </c>
      <c r="E261" s="511" t="s">
        <v>648</v>
      </c>
      <c r="F261" s="499">
        <v>3111</v>
      </c>
      <c r="G261" s="511" t="s">
        <v>277</v>
      </c>
      <c r="H261" s="495" t="s">
        <v>262</v>
      </c>
      <c r="I261" s="627">
        <f t="shared" si="348"/>
        <v>6467659</v>
      </c>
      <c r="J261" s="14">
        <v>4797966</v>
      </c>
      <c r="K261" s="14">
        <v>1621713</v>
      </c>
      <c r="L261" s="14">
        <v>47980</v>
      </c>
      <c r="M261" s="14">
        <v>0</v>
      </c>
      <c r="N261" s="121">
        <v>8</v>
      </c>
      <c r="O261" s="696">
        <f t="shared" si="349"/>
        <v>0</v>
      </c>
      <c r="P261" s="492">
        <v>0</v>
      </c>
      <c r="Q261" s="492">
        <v>0</v>
      </c>
      <c r="R261" s="492">
        <v>0</v>
      </c>
      <c r="S261" s="492">
        <v>0</v>
      </c>
      <c r="T261" s="492">
        <v>0</v>
      </c>
      <c r="U261" s="492">
        <f>O261+P261+Q261+R261+S261+T261</f>
        <v>0</v>
      </c>
      <c r="V261" s="492">
        <v>0</v>
      </c>
      <c r="W261" s="492">
        <v>0</v>
      </c>
      <c r="X261" s="492">
        <v>0</v>
      </c>
      <c r="Y261" s="492">
        <f t="shared" ref="Y261:Y262" si="438">V261+W261+X261</f>
        <v>0</v>
      </c>
      <c r="Z261" s="492">
        <f t="shared" ref="Z261:Z262" si="439">U261+Y261</f>
        <v>0</v>
      </c>
      <c r="AA261" s="494">
        <f t="shared" ref="AA261:AA262" si="440">ROUND((U261+Y261)*33.8%,0)</f>
        <v>0</v>
      </c>
      <c r="AB261" s="494">
        <f>ROUND(U261*1%,0)</f>
        <v>0</v>
      </c>
      <c r="AC261" s="14">
        <v>0</v>
      </c>
      <c r="AD261" s="892">
        <f t="shared" si="350"/>
        <v>0</v>
      </c>
      <c r="AE261" s="702">
        <v>0</v>
      </c>
      <c r="AF261" s="702">
        <v>0</v>
      </c>
      <c r="AG261" s="491">
        <v>0</v>
      </c>
      <c r="AH261" s="491">
        <v>0</v>
      </c>
      <c r="AI261" s="491">
        <v>0</v>
      </c>
      <c r="AJ261" s="491">
        <v>0</v>
      </c>
      <c r="AK261" s="626">
        <f>SUM(AE261:AJ261)</f>
        <v>0</v>
      </c>
      <c r="AL261" s="696">
        <f>I261+AD261</f>
        <v>6467659</v>
      </c>
      <c r="AM261" s="492">
        <f>J261+U261</f>
        <v>4797966</v>
      </c>
      <c r="AN261" s="492">
        <f>Y261</f>
        <v>0</v>
      </c>
      <c r="AO261" s="492">
        <f t="shared" ref="AO261:AQ262" si="441">K261+AA261</f>
        <v>1621713</v>
      </c>
      <c r="AP261" s="492">
        <f t="shared" si="441"/>
        <v>47980</v>
      </c>
      <c r="AQ261" s="578">
        <f t="shared" si="441"/>
        <v>0</v>
      </c>
      <c r="AR261" s="626">
        <f>N261+AK261</f>
        <v>8</v>
      </c>
    </row>
    <row r="262" spans="1:44" ht="14.1" customHeight="1" x14ac:dyDescent="0.2">
      <c r="A262" s="499">
        <v>66</v>
      </c>
      <c r="B262" s="512">
        <v>2402</v>
      </c>
      <c r="C262" s="513">
        <v>600078949</v>
      </c>
      <c r="D262" s="512">
        <v>70983208</v>
      </c>
      <c r="E262" s="511" t="s">
        <v>648</v>
      </c>
      <c r="F262" s="499">
        <v>3111</v>
      </c>
      <c r="G262" s="511" t="s">
        <v>278</v>
      </c>
      <c r="H262" s="495" t="s">
        <v>263</v>
      </c>
      <c r="I262" s="627">
        <f t="shared" si="348"/>
        <v>0</v>
      </c>
      <c r="J262" s="490">
        <v>0</v>
      </c>
      <c r="K262" s="14">
        <v>0</v>
      </c>
      <c r="L262" s="14">
        <v>0</v>
      </c>
      <c r="M262" s="14">
        <v>0</v>
      </c>
      <c r="N262" s="682">
        <v>0</v>
      </c>
      <c r="O262" s="696">
        <f t="shared" si="349"/>
        <v>0</v>
      </c>
      <c r="P262" s="490">
        <v>352758</v>
      </c>
      <c r="Q262" s="492">
        <v>0</v>
      </c>
      <c r="R262" s="492">
        <v>0</v>
      </c>
      <c r="S262" s="492">
        <v>0</v>
      </c>
      <c r="T262" s="492">
        <v>0</v>
      </c>
      <c r="U262" s="492">
        <f>O262+P262+Q262+R262+S262+T262</f>
        <v>352758</v>
      </c>
      <c r="V262" s="492">
        <v>0</v>
      </c>
      <c r="W262" s="492">
        <v>0</v>
      </c>
      <c r="X262" s="492">
        <v>0</v>
      </c>
      <c r="Y262" s="492">
        <f t="shared" si="438"/>
        <v>0</v>
      </c>
      <c r="Z262" s="492">
        <f t="shared" si="439"/>
        <v>352758</v>
      </c>
      <c r="AA262" s="494">
        <f t="shared" si="440"/>
        <v>119232</v>
      </c>
      <c r="AB262" s="494">
        <f>ROUND(U262*1%,0)</f>
        <v>3528</v>
      </c>
      <c r="AC262" s="14">
        <v>0</v>
      </c>
      <c r="AD262" s="892">
        <f t="shared" si="350"/>
        <v>475518</v>
      </c>
      <c r="AE262" s="702">
        <v>0</v>
      </c>
      <c r="AF262" s="121">
        <v>0.89</v>
      </c>
      <c r="AG262" s="491">
        <v>0</v>
      </c>
      <c r="AH262" s="491">
        <v>0</v>
      </c>
      <c r="AI262" s="491">
        <v>0</v>
      </c>
      <c r="AJ262" s="491">
        <v>0</v>
      </c>
      <c r="AK262" s="626">
        <f>SUM(AE262:AJ262)</f>
        <v>0.89</v>
      </c>
      <c r="AL262" s="696">
        <f>I262+AD262</f>
        <v>475518</v>
      </c>
      <c r="AM262" s="492">
        <f>J262+U262</f>
        <v>352758</v>
      </c>
      <c r="AN262" s="492">
        <f>Y262</f>
        <v>0</v>
      </c>
      <c r="AO262" s="492">
        <f t="shared" si="441"/>
        <v>119232</v>
      </c>
      <c r="AP262" s="492">
        <f t="shared" si="441"/>
        <v>3528</v>
      </c>
      <c r="AQ262" s="578">
        <f t="shared" si="441"/>
        <v>0</v>
      </c>
      <c r="AR262" s="626">
        <f>N262+AK262</f>
        <v>0.89</v>
      </c>
    </row>
    <row r="263" spans="1:44" ht="14.1" customHeight="1" x14ac:dyDescent="0.2">
      <c r="A263" s="510">
        <v>66</v>
      </c>
      <c r="B263" s="508">
        <v>2402</v>
      </c>
      <c r="C263" s="509">
        <v>600078949</v>
      </c>
      <c r="D263" s="508">
        <v>70983208</v>
      </c>
      <c r="E263" s="506" t="s">
        <v>649</v>
      </c>
      <c r="F263" s="510"/>
      <c r="G263" s="506"/>
      <c r="H263" s="505"/>
      <c r="I263" s="629">
        <f t="shared" ref="I263:N263" si="442">SUM(I261:I262)</f>
        <v>6467659</v>
      </c>
      <c r="J263" s="504">
        <f t="shared" si="442"/>
        <v>4797966</v>
      </c>
      <c r="K263" s="504">
        <f t="shared" si="442"/>
        <v>1621713</v>
      </c>
      <c r="L263" s="504">
        <f t="shared" si="442"/>
        <v>47980</v>
      </c>
      <c r="M263" s="504">
        <f t="shared" si="442"/>
        <v>0</v>
      </c>
      <c r="N263" s="885">
        <f t="shared" si="442"/>
        <v>8</v>
      </c>
      <c r="O263" s="629">
        <f t="shared" ref="O263:AR263" si="443">SUM(O261:O262)</f>
        <v>0</v>
      </c>
      <c r="P263" s="503">
        <f t="shared" si="443"/>
        <v>352758</v>
      </c>
      <c r="Q263" s="503">
        <f t="shared" si="443"/>
        <v>0</v>
      </c>
      <c r="R263" s="503">
        <f t="shared" si="443"/>
        <v>0</v>
      </c>
      <c r="S263" s="503">
        <f t="shared" si="443"/>
        <v>0</v>
      </c>
      <c r="T263" s="503">
        <f t="shared" si="443"/>
        <v>0</v>
      </c>
      <c r="U263" s="503">
        <f t="shared" si="443"/>
        <v>352758</v>
      </c>
      <c r="V263" s="503">
        <f t="shared" si="443"/>
        <v>0</v>
      </c>
      <c r="W263" s="503">
        <f t="shared" si="443"/>
        <v>0</v>
      </c>
      <c r="X263" s="503">
        <f t="shared" si="443"/>
        <v>0</v>
      </c>
      <c r="Y263" s="503">
        <f t="shared" si="443"/>
        <v>0</v>
      </c>
      <c r="Z263" s="503">
        <f t="shared" si="443"/>
        <v>352758</v>
      </c>
      <c r="AA263" s="503">
        <f t="shared" si="443"/>
        <v>119232</v>
      </c>
      <c r="AB263" s="503">
        <f t="shared" si="443"/>
        <v>3528</v>
      </c>
      <c r="AC263" s="503">
        <f t="shared" si="443"/>
        <v>0</v>
      </c>
      <c r="AD263" s="891">
        <f t="shared" si="443"/>
        <v>475518</v>
      </c>
      <c r="AE263" s="701">
        <f t="shared" si="443"/>
        <v>0</v>
      </c>
      <c r="AF263" s="701">
        <f t="shared" si="443"/>
        <v>0.89</v>
      </c>
      <c r="AG263" s="502">
        <f t="shared" si="443"/>
        <v>0</v>
      </c>
      <c r="AH263" s="502">
        <f t="shared" si="443"/>
        <v>0</v>
      </c>
      <c r="AI263" s="502">
        <f t="shared" si="443"/>
        <v>0</v>
      </c>
      <c r="AJ263" s="502">
        <f t="shared" si="443"/>
        <v>0</v>
      </c>
      <c r="AK263" s="630">
        <f t="shared" si="443"/>
        <v>0.89</v>
      </c>
      <c r="AL263" s="629">
        <f t="shared" si="443"/>
        <v>6943177</v>
      </c>
      <c r="AM263" s="503">
        <f t="shared" si="443"/>
        <v>5150724</v>
      </c>
      <c r="AN263" s="552">
        <f t="shared" si="443"/>
        <v>0</v>
      </c>
      <c r="AO263" s="503">
        <f t="shared" si="443"/>
        <v>1740945</v>
      </c>
      <c r="AP263" s="503">
        <f t="shared" si="443"/>
        <v>51508</v>
      </c>
      <c r="AQ263" s="503">
        <f t="shared" si="443"/>
        <v>0</v>
      </c>
      <c r="AR263" s="630">
        <f t="shared" si="443"/>
        <v>8.89</v>
      </c>
    </row>
    <row r="264" spans="1:44" ht="14.1" customHeight="1" x14ac:dyDescent="0.2">
      <c r="A264" s="499">
        <v>67</v>
      </c>
      <c r="B264" s="512">
        <v>2404</v>
      </c>
      <c r="C264" s="513">
        <v>600078957</v>
      </c>
      <c r="D264" s="512">
        <v>70983135</v>
      </c>
      <c r="E264" s="511" t="s">
        <v>650</v>
      </c>
      <c r="F264" s="499">
        <v>3111</v>
      </c>
      <c r="G264" s="511" t="s">
        <v>277</v>
      </c>
      <c r="H264" s="495" t="s">
        <v>262</v>
      </c>
      <c r="I264" s="627">
        <f t="shared" si="348"/>
        <v>6397266</v>
      </c>
      <c r="J264" s="14">
        <v>4745747</v>
      </c>
      <c r="K264" s="14">
        <v>1604062</v>
      </c>
      <c r="L264" s="14">
        <v>47457</v>
      </c>
      <c r="M264" s="14">
        <v>0</v>
      </c>
      <c r="N264" s="121">
        <v>8</v>
      </c>
      <c r="O264" s="696">
        <f t="shared" si="349"/>
        <v>0</v>
      </c>
      <c r="P264" s="492">
        <v>0</v>
      </c>
      <c r="Q264" s="492">
        <v>0</v>
      </c>
      <c r="R264" s="492">
        <v>0</v>
      </c>
      <c r="S264" s="492">
        <v>0</v>
      </c>
      <c r="T264" s="492">
        <v>0</v>
      </c>
      <c r="U264" s="492">
        <f>O264+P264+Q264+R264+S264+T264</f>
        <v>0</v>
      </c>
      <c r="V264" s="492">
        <v>0</v>
      </c>
      <c r="W264" s="492">
        <v>0</v>
      </c>
      <c r="X264" s="492">
        <v>0</v>
      </c>
      <c r="Y264" s="492">
        <f t="shared" ref="Y264:Y265" si="444">V264+W264+X264</f>
        <v>0</v>
      </c>
      <c r="Z264" s="492">
        <f t="shared" ref="Z264:Z265" si="445">U264+Y264</f>
        <v>0</v>
      </c>
      <c r="AA264" s="494">
        <f t="shared" ref="AA264:AA265" si="446">ROUND((U264+Y264)*33.8%,0)</f>
        <v>0</v>
      </c>
      <c r="AB264" s="494">
        <f>ROUND(U264*1%,0)</f>
        <v>0</v>
      </c>
      <c r="AC264" s="14">
        <v>0</v>
      </c>
      <c r="AD264" s="892">
        <f t="shared" si="350"/>
        <v>0</v>
      </c>
      <c r="AE264" s="702">
        <v>0</v>
      </c>
      <c r="AF264" s="702">
        <v>0</v>
      </c>
      <c r="AG264" s="491">
        <v>0</v>
      </c>
      <c r="AH264" s="491">
        <v>0</v>
      </c>
      <c r="AI264" s="491">
        <v>0</v>
      </c>
      <c r="AJ264" s="491">
        <v>0</v>
      </c>
      <c r="AK264" s="626">
        <f>SUM(AE264:AJ264)</f>
        <v>0</v>
      </c>
      <c r="AL264" s="696">
        <f>I264+AD264</f>
        <v>6397266</v>
      </c>
      <c r="AM264" s="492">
        <f>J264+U264</f>
        <v>4745747</v>
      </c>
      <c r="AN264" s="492">
        <f>Y264</f>
        <v>0</v>
      </c>
      <c r="AO264" s="492">
        <f t="shared" ref="AO264:AQ265" si="447">K264+AA264</f>
        <v>1604062</v>
      </c>
      <c r="AP264" s="492">
        <f t="shared" si="447"/>
        <v>47457</v>
      </c>
      <c r="AQ264" s="578">
        <f t="shared" si="447"/>
        <v>0</v>
      </c>
      <c r="AR264" s="626">
        <f>N264+AK264</f>
        <v>8</v>
      </c>
    </row>
    <row r="265" spans="1:44" ht="14.1" customHeight="1" x14ac:dyDescent="0.2">
      <c r="A265" s="499">
        <v>67</v>
      </c>
      <c r="B265" s="512">
        <v>2404</v>
      </c>
      <c r="C265" s="513">
        <v>600078957</v>
      </c>
      <c r="D265" s="512">
        <v>70983135</v>
      </c>
      <c r="E265" s="511" t="s">
        <v>650</v>
      </c>
      <c r="F265" s="499">
        <v>3111</v>
      </c>
      <c r="G265" s="514" t="s">
        <v>278</v>
      </c>
      <c r="H265" s="495" t="s">
        <v>263</v>
      </c>
      <c r="I265" s="627">
        <f t="shared" si="348"/>
        <v>0</v>
      </c>
      <c r="J265" s="490">
        <v>0</v>
      </c>
      <c r="K265" s="14">
        <v>0</v>
      </c>
      <c r="L265" s="14">
        <v>0</v>
      </c>
      <c r="M265" s="14">
        <v>0</v>
      </c>
      <c r="N265" s="682">
        <v>0</v>
      </c>
      <c r="O265" s="696">
        <f t="shared" si="349"/>
        <v>0</v>
      </c>
      <c r="P265" s="490">
        <f>793694+67817</f>
        <v>861511</v>
      </c>
      <c r="Q265" s="492">
        <v>0</v>
      </c>
      <c r="R265" s="492">
        <v>0</v>
      </c>
      <c r="S265" s="492">
        <v>0</v>
      </c>
      <c r="T265" s="492">
        <v>0</v>
      </c>
      <c r="U265" s="492">
        <f>O265+P265+Q265+R265+S265+T265</f>
        <v>861511</v>
      </c>
      <c r="V265" s="492">
        <v>0</v>
      </c>
      <c r="W265" s="492">
        <v>0</v>
      </c>
      <c r="X265" s="492">
        <v>0</v>
      </c>
      <c r="Y265" s="492">
        <f t="shared" si="444"/>
        <v>0</v>
      </c>
      <c r="Z265" s="492">
        <f t="shared" si="445"/>
        <v>861511</v>
      </c>
      <c r="AA265" s="494">
        <f t="shared" si="446"/>
        <v>291191</v>
      </c>
      <c r="AB265" s="494">
        <f>ROUND(U265*1%,0)</f>
        <v>8615</v>
      </c>
      <c r="AC265" s="14">
        <v>0</v>
      </c>
      <c r="AD265" s="892">
        <f t="shared" si="350"/>
        <v>1161317</v>
      </c>
      <c r="AE265" s="702">
        <v>0</v>
      </c>
      <c r="AF265" s="121">
        <f>2+0.23</f>
        <v>2.23</v>
      </c>
      <c r="AG265" s="491">
        <v>0</v>
      </c>
      <c r="AH265" s="491">
        <v>0</v>
      </c>
      <c r="AI265" s="491">
        <v>0</v>
      </c>
      <c r="AJ265" s="491">
        <v>0</v>
      </c>
      <c r="AK265" s="626">
        <f>SUM(AE265:AJ265)</f>
        <v>2.23</v>
      </c>
      <c r="AL265" s="696">
        <f>I265+AD265</f>
        <v>1161317</v>
      </c>
      <c r="AM265" s="492">
        <f>J265+U265</f>
        <v>861511</v>
      </c>
      <c r="AN265" s="492">
        <f>Y265</f>
        <v>0</v>
      </c>
      <c r="AO265" s="492">
        <f t="shared" si="447"/>
        <v>291191</v>
      </c>
      <c r="AP265" s="492">
        <f t="shared" si="447"/>
        <v>8615</v>
      </c>
      <c r="AQ265" s="578">
        <f t="shared" si="447"/>
        <v>0</v>
      </c>
      <c r="AR265" s="626">
        <f>N265+AK265</f>
        <v>2.23</v>
      </c>
    </row>
    <row r="266" spans="1:44" ht="14.1" customHeight="1" x14ac:dyDescent="0.2">
      <c r="A266" s="510">
        <v>67</v>
      </c>
      <c r="B266" s="508">
        <v>2404</v>
      </c>
      <c r="C266" s="509">
        <v>600078957</v>
      </c>
      <c r="D266" s="508">
        <v>70983135</v>
      </c>
      <c r="E266" s="506" t="s">
        <v>651</v>
      </c>
      <c r="F266" s="510"/>
      <c r="G266" s="506"/>
      <c r="H266" s="505"/>
      <c r="I266" s="629">
        <f t="shared" ref="I266:N266" si="448">SUM(I264:I265)</f>
        <v>6397266</v>
      </c>
      <c r="J266" s="504">
        <f t="shared" si="448"/>
        <v>4745747</v>
      </c>
      <c r="K266" s="504">
        <f t="shared" si="448"/>
        <v>1604062</v>
      </c>
      <c r="L266" s="504">
        <f t="shared" si="448"/>
        <v>47457</v>
      </c>
      <c r="M266" s="504">
        <f t="shared" si="448"/>
        <v>0</v>
      </c>
      <c r="N266" s="885">
        <f t="shared" si="448"/>
        <v>8</v>
      </c>
      <c r="O266" s="629">
        <f t="shared" ref="O266:AR266" si="449">SUM(O264:O265)</f>
        <v>0</v>
      </c>
      <c r="P266" s="503">
        <f t="shared" si="449"/>
        <v>861511</v>
      </c>
      <c r="Q266" s="503">
        <f t="shared" si="449"/>
        <v>0</v>
      </c>
      <c r="R266" s="503">
        <f t="shared" si="449"/>
        <v>0</v>
      </c>
      <c r="S266" s="503">
        <f t="shared" si="449"/>
        <v>0</v>
      </c>
      <c r="T266" s="503">
        <f t="shared" si="449"/>
        <v>0</v>
      </c>
      <c r="U266" s="503">
        <f t="shared" si="449"/>
        <v>861511</v>
      </c>
      <c r="V266" s="503">
        <f t="shared" si="449"/>
        <v>0</v>
      </c>
      <c r="W266" s="503">
        <f t="shared" si="449"/>
        <v>0</v>
      </c>
      <c r="X266" s="503">
        <f t="shared" si="449"/>
        <v>0</v>
      </c>
      <c r="Y266" s="503">
        <f t="shared" si="449"/>
        <v>0</v>
      </c>
      <c r="Z266" s="503">
        <f t="shared" si="449"/>
        <v>861511</v>
      </c>
      <c r="AA266" s="503">
        <f t="shared" si="449"/>
        <v>291191</v>
      </c>
      <c r="AB266" s="503">
        <f t="shared" si="449"/>
        <v>8615</v>
      </c>
      <c r="AC266" s="503">
        <f t="shared" si="449"/>
        <v>0</v>
      </c>
      <c r="AD266" s="891">
        <f t="shared" si="449"/>
        <v>1161317</v>
      </c>
      <c r="AE266" s="701">
        <f t="shared" si="449"/>
        <v>0</v>
      </c>
      <c r="AF266" s="701">
        <f t="shared" si="449"/>
        <v>2.23</v>
      </c>
      <c r="AG266" s="502">
        <f t="shared" si="449"/>
        <v>0</v>
      </c>
      <c r="AH266" s="502">
        <f t="shared" si="449"/>
        <v>0</v>
      </c>
      <c r="AI266" s="502">
        <f t="shared" si="449"/>
        <v>0</v>
      </c>
      <c r="AJ266" s="502">
        <f t="shared" si="449"/>
        <v>0</v>
      </c>
      <c r="AK266" s="630">
        <f t="shared" si="449"/>
        <v>2.23</v>
      </c>
      <c r="AL266" s="629">
        <f t="shared" si="449"/>
        <v>7558583</v>
      </c>
      <c r="AM266" s="503">
        <f t="shared" si="449"/>
        <v>5607258</v>
      </c>
      <c r="AN266" s="552">
        <f t="shared" si="449"/>
        <v>0</v>
      </c>
      <c r="AO266" s="503">
        <f t="shared" si="449"/>
        <v>1895253</v>
      </c>
      <c r="AP266" s="503">
        <f t="shared" si="449"/>
        <v>56072</v>
      </c>
      <c r="AQ266" s="503">
        <f t="shared" si="449"/>
        <v>0</v>
      </c>
      <c r="AR266" s="630">
        <f t="shared" si="449"/>
        <v>10.23</v>
      </c>
    </row>
    <row r="267" spans="1:44" ht="14.1" customHeight="1" x14ac:dyDescent="0.2">
      <c r="A267" s="499">
        <v>68</v>
      </c>
      <c r="B267" s="512">
        <v>2439</v>
      </c>
      <c r="C267" s="513">
        <v>600078965</v>
      </c>
      <c r="D267" s="512">
        <v>70983143</v>
      </c>
      <c r="E267" s="511" t="s">
        <v>652</v>
      </c>
      <c r="F267" s="499">
        <v>3111</v>
      </c>
      <c r="G267" s="511" t="s">
        <v>277</v>
      </c>
      <c r="H267" s="495" t="s">
        <v>262</v>
      </c>
      <c r="I267" s="627">
        <f t="shared" si="348"/>
        <v>3182578</v>
      </c>
      <c r="J267" s="14">
        <v>2360963</v>
      </c>
      <c r="K267" s="14">
        <v>798005</v>
      </c>
      <c r="L267" s="14">
        <v>23610</v>
      </c>
      <c r="M267" s="14">
        <v>0</v>
      </c>
      <c r="N267" s="121">
        <v>4</v>
      </c>
      <c r="O267" s="696">
        <f t="shared" si="349"/>
        <v>0</v>
      </c>
      <c r="P267" s="492">
        <v>0</v>
      </c>
      <c r="Q267" s="492">
        <v>0</v>
      </c>
      <c r="R267" s="492">
        <v>0</v>
      </c>
      <c r="S267" s="492">
        <v>0</v>
      </c>
      <c r="T267" s="492">
        <v>0</v>
      </c>
      <c r="U267" s="492">
        <f>O267+P267+Q267+R267+S267+T267</f>
        <v>0</v>
      </c>
      <c r="V267" s="492">
        <v>0</v>
      </c>
      <c r="W267" s="492">
        <v>0</v>
      </c>
      <c r="X267" s="492">
        <v>0</v>
      </c>
      <c r="Y267" s="492">
        <f t="shared" ref="Y267:Y268" si="450">V267+W267+X267</f>
        <v>0</v>
      </c>
      <c r="Z267" s="492">
        <f t="shared" ref="Z267:Z268" si="451">U267+Y267</f>
        <v>0</v>
      </c>
      <c r="AA267" s="494">
        <f t="shared" ref="AA267:AA268" si="452">ROUND((U267+Y267)*33.8%,0)</f>
        <v>0</v>
      </c>
      <c r="AB267" s="494">
        <f>ROUND(U267*1%,0)</f>
        <v>0</v>
      </c>
      <c r="AC267" s="14">
        <v>0</v>
      </c>
      <c r="AD267" s="892">
        <f t="shared" si="350"/>
        <v>0</v>
      </c>
      <c r="AE267" s="702">
        <v>0</v>
      </c>
      <c r="AF267" s="702">
        <v>0</v>
      </c>
      <c r="AG267" s="491">
        <v>0</v>
      </c>
      <c r="AH267" s="491">
        <v>0</v>
      </c>
      <c r="AI267" s="491">
        <v>0</v>
      </c>
      <c r="AJ267" s="491">
        <v>0</v>
      </c>
      <c r="AK267" s="626">
        <f>SUM(AE267:AJ267)</f>
        <v>0</v>
      </c>
      <c r="AL267" s="696">
        <f>I267+AD267</f>
        <v>3182578</v>
      </c>
      <c r="AM267" s="492">
        <f>J267+U267</f>
        <v>2360963</v>
      </c>
      <c r="AN267" s="492">
        <f>Y267</f>
        <v>0</v>
      </c>
      <c r="AO267" s="492">
        <f t="shared" ref="AO267:AQ268" si="453">K267+AA267</f>
        <v>798005</v>
      </c>
      <c r="AP267" s="492">
        <f t="shared" si="453"/>
        <v>23610</v>
      </c>
      <c r="AQ267" s="578">
        <f t="shared" si="453"/>
        <v>0</v>
      </c>
      <c r="AR267" s="626">
        <f>N267+AK267</f>
        <v>4</v>
      </c>
    </row>
    <row r="268" spans="1:44" ht="14.1" customHeight="1" x14ac:dyDescent="0.2">
      <c r="A268" s="499">
        <v>68</v>
      </c>
      <c r="B268" s="512">
        <v>2439</v>
      </c>
      <c r="C268" s="513">
        <v>600078965</v>
      </c>
      <c r="D268" s="512">
        <v>70983143</v>
      </c>
      <c r="E268" s="511" t="s">
        <v>652</v>
      </c>
      <c r="F268" s="499">
        <v>3111</v>
      </c>
      <c r="G268" s="511" t="s">
        <v>278</v>
      </c>
      <c r="H268" s="495" t="s">
        <v>263</v>
      </c>
      <c r="I268" s="627">
        <f t="shared" si="348"/>
        <v>0</v>
      </c>
      <c r="J268" s="490">
        <v>0</v>
      </c>
      <c r="K268" s="14">
        <v>0</v>
      </c>
      <c r="L268" s="14">
        <v>0</v>
      </c>
      <c r="M268" s="14">
        <v>0</v>
      </c>
      <c r="N268" s="682">
        <v>0</v>
      </c>
      <c r="O268" s="696">
        <f t="shared" si="349"/>
        <v>0</v>
      </c>
      <c r="P268" s="490">
        <v>396847</v>
      </c>
      <c r="Q268" s="492">
        <v>0</v>
      </c>
      <c r="R268" s="492">
        <v>0</v>
      </c>
      <c r="S268" s="492">
        <v>0</v>
      </c>
      <c r="T268" s="492">
        <v>0</v>
      </c>
      <c r="U268" s="492">
        <f>O268+P268+Q268+R268+S268+T268</f>
        <v>396847</v>
      </c>
      <c r="V268" s="492">
        <v>0</v>
      </c>
      <c r="W268" s="492">
        <v>0</v>
      </c>
      <c r="X268" s="492">
        <v>0</v>
      </c>
      <c r="Y268" s="492">
        <f t="shared" si="450"/>
        <v>0</v>
      </c>
      <c r="Z268" s="492">
        <f t="shared" si="451"/>
        <v>396847</v>
      </c>
      <c r="AA268" s="494">
        <f t="shared" si="452"/>
        <v>134134</v>
      </c>
      <c r="AB268" s="494">
        <f>ROUND(U268*1%,0)</f>
        <v>3968</v>
      </c>
      <c r="AC268" s="14">
        <v>0</v>
      </c>
      <c r="AD268" s="892">
        <f t="shared" si="350"/>
        <v>534949</v>
      </c>
      <c r="AE268" s="702">
        <v>0</v>
      </c>
      <c r="AF268" s="121">
        <v>1</v>
      </c>
      <c r="AG268" s="491">
        <v>0</v>
      </c>
      <c r="AH268" s="491">
        <v>0</v>
      </c>
      <c r="AI268" s="491">
        <v>0</v>
      </c>
      <c r="AJ268" s="491">
        <v>0</v>
      </c>
      <c r="AK268" s="626">
        <f>SUM(AE268:AJ268)</f>
        <v>1</v>
      </c>
      <c r="AL268" s="696">
        <f>I268+AD268</f>
        <v>534949</v>
      </c>
      <c r="AM268" s="492">
        <f>J268+U268</f>
        <v>396847</v>
      </c>
      <c r="AN268" s="492">
        <f>Y268</f>
        <v>0</v>
      </c>
      <c r="AO268" s="492">
        <f t="shared" si="453"/>
        <v>134134</v>
      </c>
      <c r="AP268" s="492">
        <f t="shared" si="453"/>
        <v>3968</v>
      </c>
      <c r="AQ268" s="578">
        <f t="shared" si="453"/>
        <v>0</v>
      </c>
      <c r="AR268" s="626">
        <f>N268+AK268</f>
        <v>1</v>
      </c>
    </row>
    <row r="269" spans="1:44" ht="14.1" customHeight="1" x14ac:dyDescent="0.2">
      <c r="A269" s="510">
        <v>68</v>
      </c>
      <c r="B269" s="508">
        <v>2439</v>
      </c>
      <c r="C269" s="509">
        <v>600078965</v>
      </c>
      <c r="D269" s="508">
        <v>70983143</v>
      </c>
      <c r="E269" s="506" t="s">
        <v>653</v>
      </c>
      <c r="F269" s="510"/>
      <c r="G269" s="506"/>
      <c r="H269" s="505"/>
      <c r="I269" s="629">
        <f t="shared" ref="I269:N269" si="454">SUM(I267:I268)</f>
        <v>3182578</v>
      </c>
      <c r="J269" s="504">
        <f t="shared" si="454"/>
        <v>2360963</v>
      </c>
      <c r="K269" s="504">
        <f t="shared" si="454"/>
        <v>798005</v>
      </c>
      <c r="L269" s="504">
        <f t="shared" si="454"/>
        <v>23610</v>
      </c>
      <c r="M269" s="504">
        <f t="shared" si="454"/>
        <v>0</v>
      </c>
      <c r="N269" s="885">
        <f t="shared" si="454"/>
        <v>4</v>
      </c>
      <c r="O269" s="629">
        <f t="shared" ref="O269:AR269" si="455">SUM(O267:O268)</f>
        <v>0</v>
      </c>
      <c r="P269" s="503">
        <f t="shared" si="455"/>
        <v>396847</v>
      </c>
      <c r="Q269" s="503">
        <f t="shared" si="455"/>
        <v>0</v>
      </c>
      <c r="R269" s="503">
        <f t="shared" si="455"/>
        <v>0</v>
      </c>
      <c r="S269" s="503">
        <f t="shared" si="455"/>
        <v>0</v>
      </c>
      <c r="T269" s="503">
        <f t="shared" si="455"/>
        <v>0</v>
      </c>
      <c r="U269" s="503">
        <f t="shared" si="455"/>
        <v>396847</v>
      </c>
      <c r="V269" s="503">
        <f t="shared" si="455"/>
        <v>0</v>
      </c>
      <c r="W269" s="503">
        <f t="shared" si="455"/>
        <v>0</v>
      </c>
      <c r="X269" s="503">
        <f t="shared" si="455"/>
        <v>0</v>
      </c>
      <c r="Y269" s="503">
        <f t="shared" si="455"/>
        <v>0</v>
      </c>
      <c r="Z269" s="503">
        <f t="shared" si="455"/>
        <v>396847</v>
      </c>
      <c r="AA269" s="503">
        <f t="shared" si="455"/>
        <v>134134</v>
      </c>
      <c r="AB269" s="503">
        <f t="shared" si="455"/>
        <v>3968</v>
      </c>
      <c r="AC269" s="503">
        <f t="shared" si="455"/>
        <v>0</v>
      </c>
      <c r="AD269" s="891">
        <f t="shared" si="455"/>
        <v>534949</v>
      </c>
      <c r="AE269" s="701">
        <f t="shared" si="455"/>
        <v>0</v>
      </c>
      <c r="AF269" s="701">
        <f t="shared" si="455"/>
        <v>1</v>
      </c>
      <c r="AG269" s="502">
        <f t="shared" si="455"/>
        <v>0</v>
      </c>
      <c r="AH269" s="502">
        <f t="shared" si="455"/>
        <v>0</v>
      </c>
      <c r="AI269" s="502">
        <f t="shared" si="455"/>
        <v>0</v>
      </c>
      <c r="AJ269" s="502">
        <f t="shared" si="455"/>
        <v>0</v>
      </c>
      <c r="AK269" s="630">
        <f t="shared" si="455"/>
        <v>1</v>
      </c>
      <c r="AL269" s="629">
        <f t="shared" si="455"/>
        <v>3717527</v>
      </c>
      <c r="AM269" s="503">
        <f t="shared" si="455"/>
        <v>2757810</v>
      </c>
      <c r="AN269" s="552">
        <f t="shared" si="455"/>
        <v>0</v>
      </c>
      <c r="AO269" s="503">
        <f t="shared" si="455"/>
        <v>932139</v>
      </c>
      <c r="AP269" s="503">
        <f t="shared" si="455"/>
        <v>27578</v>
      </c>
      <c r="AQ269" s="503">
        <f t="shared" si="455"/>
        <v>0</v>
      </c>
      <c r="AR269" s="630">
        <f t="shared" si="455"/>
        <v>5</v>
      </c>
    </row>
    <row r="270" spans="1:44" ht="14.1" customHeight="1" x14ac:dyDescent="0.2">
      <c r="A270" s="499">
        <v>69</v>
      </c>
      <c r="B270" s="512">
        <v>2302</v>
      </c>
      <c r="C270" s="513">
        <v>600080366</v>
      </c>
      <c r="D270" s="512">
        <v>70983127</v>
      </c>
      <c r="E270" s="511" t="s">
        <v>654</v>
      </c>
      <c r="F270" s="499">
        <v>3111</v>
      </c>
      <c r="G270" s="511" t="s">
        <v>277</v>
      </c>
      <c r="H270" s="495" t="s">
        <v>262</v>
      </c>
      <c r="I270" s="627">
        <f t="shared" ref="I270:I332" si="456">SUM(J270:M270)</f>
        <v>4802271</v>
      </c>
      <c r="J270" s="14">
        <v>3562516</v>
      </c>
      <c r="K270" s="14">
        <v>1204130</v>
      </c>
      <c r="L270" s="14">
        <v>35625</v>
      </c>
      <c r="M270" s="14">
        <v>0</v>
      </c>
      <c r="N270" s="121">
        <v>6</v>
      </c>
      <c r="O270" s="696">
        <f t="shared" ref="O270:O332" si="457">V270*-1</f>
        <v>0</v>
      </c>
      <c r="P270" s="492">
        <v>0</v>
      </c>
      <c r="Q270" s="492">
        <v>0</v>
      </c>
      <c r="R270" s="492">
        <v>0</v>
      </c>
      <c r="S270" s="492">
        <v>0</v>
      </c>
      <c r="T270" s="492">
        <v>0</v>
      </c>
      <c r="U270" s="492">
        <f t="shared" ref="U270:U275" si="458">O270+P270+Q270+R270+S270+T270</f>
        <v>0</v>
      </c>
      <c r="V270" s="492">
        <v>0</v>
      </c>
      <c r="W270" s="492">
        <v>0</v>
      </c>
      <c r="X270" s="492">
        <v>0</v>
      </c>
      <c r="Y270" s="492">
        <f t="shared" ref="Y270:Y275" si="459">V270+W270+X270</f>
        <v>0</v>
      </c>
      <c r="Z270" s="492">
        <f t="shared" ref="Z270:Z275" si="460">U270+Y270</f>
        <v>0</v>
      </c>
      <c r="AA270" s="494">
        <f t="shared" ref="AA270:AA275" si="461">ROUND((U270+Y270)*33.8%,0)</f>
        <v>0</v>
      </c>
      <c r="AB270" s="494">
        <f t="shared" ref="AB270:AB275" si="462">ROUND(U270*1%,0)</f>
        <v>0</v>
      </c>
      <c r="AC270" s="14">
        <v>0</v>
      </c>
      <c r="AD270" s="892">
        <f t="shared" ref="AD270:AD332" si="463">Z270+AA270+AB270+AC270</f>
        <v>0</v>
      </c>
      <c r="AE270" s="702">
        <v>0</v>
      </c>
      <c r="AF270" s="702">
        <v>0</v>
      </c>
      <c r="AG270" s="491">
        <v>0</v>
      </c>
      <c r="AH270" s="491">
        <v>0</v>
      </c>
      <c r="AI270" s="491">
        <v>0</v>
      </c>
      <c r="AJ270" s="491">
        <v>0</v>
      </c>
      <c r="AK270" s="626">
        <f t="shared" ref="AK270:AK275" si="464">SUM(AE270:AJ270)</f>
        <v>0</v>
      </c>
      <c r="AL270" s="696">
        <f t="shared" ref="AL270:AL275" si="465">I270+AD270</f>
        <v>4802271</v>
      </c>
      <c r="AM270" s="492">
        <f t="shared" ref="AM270:AM275" si="466">J270+U270</f>
        <v>3562516</v>
      </c>
      <c r="AN270" s="492">
        <f t="shared" ref="AN270:AN275" si="467">Y270</f>
        <v>0</v>
      </c>
      <c r="AO270" s="492">
        <f t="shared" ref="AO270:AQ275" si="468">K270+AA270</f>
        <v>1204130</v>
      </c>
      <c r="AP270" s="492">
        <f t="shared" si="468"/>
        <v>35625</v>
      </c>
      <c r="AQ270" s="578">
        <f t="shared" si="468"/>
        <v>0</v>
      </c>
      <c r="AR270" s="626">
        <f t="shared" ref="AR270:AR275" si="469">N270+AK270</f>
        <v>6</v>
      </c>
    </row>
    <row r="271" spans="1:44" ht="14.1" customHeight="1" x14ac:dyDescent="0.2">
      <c r="A271" s="499">
        <v>69</v>
      </c>
      <c r="B271" s="512">
        <v>2302</v>
      </c>
      <c r="C271" s="513">
        <v>600080366</v>
      </c>
      <c r="D271" s="512">
        <v>70983127</v>
      </c>
      <c r="E271" s="511" t="s">
        <v>654</v>
      </c>
      <c r="F271" s="499">
        <v>3111</v>
      </c>
      <c r="G271" s="39" t="s">
        <v>279</v>
      </c>
      <c r="H271" s="495" t="s">
        <v>262</v>
      </c>
      <c r="I271" s="627">
        <f t="shared" si="456"/>
        <v>603349</v>
      </c>
      <c r="J271" s="14">
        <v>447588</v>
      </c>
      <c r="K271" s="14">
        <v>151285</v>
      </c>
      <c r="L271" s="14">
        <v>4476</v>
      </c>
      <c r="M271" s="14">
        <v>0</v>
      </c>
      <c r="N271" s="121">
        <v>1</v>
      </c>
      <c r="O271" s="696">
        <f t="shared" si="457"/>
        <v>0</v>
      </c>
      <c r="P271" s="492">
        <v>0</v>
      </c>
      <c r="Q271" s="492">
        <v>0</v>
      </c>
      <c r="R271" s="492">
        <v>0</v>
      </c>
      <c r="S271" s="492">
        <v>0</v>
      </c>
      <c r="T271" s="492">
        <v>0</v>
      </c>
      <c r="U271" s="492">
        <f t="shared" si="458"/>
        <v>0</v>
      </c>
      <c r="V271" s="492">
        <v>0</v>
      </c>
      <c r="W271" s="492">
        <v>0</v>
      </c>
      <c r="X271" s="492">
        <v>0</v>
      </c>
      <c r="Y271" s="492">
        <f t="shared" si="459"/>
        <v>0</v>
      </c>
      <c r="Z271" s="492">
        <f t="shared" si="460"/>
        <v>0</v>
      </c>
      <c r="AA271" s="494">
        <f t="shared" si="461"/>
        <v>0</v>
      </c>
      <c r="AB271" s="494">
        <f t="shared" si="462"/>
        <v>0</v>
      </c>
      <c r="AC271" s="14">
        <v>0</v>
      </c>
      <c r="AD271" s="892">
        <f t="shared" si="463"/>
        <v>0</v>
      </c>
      <c r="AE271" s="702">
        <v>0</v>
      </c>
      <c r="AF271" s="702">
        <v>0</v>
      </c>
      <c r="AG271" s="491">
        <v>0</v>
      </c>
      <c r="AH271" s="491">
        <v>0</v>
      </c>
      <c r="AI271" s="491">
        <v>0</v>
      </c>
      <c r="AJ271" s="491">
        <v>0</v>
      </c>
      <c r="AK271" s="626">
        <f t="shared" si="464"/>
        <v>0</v>
      </c>
      <c r="AL271" s="696">
        <f t="shared" si="465"/>
        <v>603349</v>
      </c>
      <c r="AM271" s="492">
        <f t="shared" si="466"/>
        <v>447588</v>
      </c>
      <c r="AN271" s="492">
        <f t="shared" si="467"/>
        <v>0</v>
      </c>
      <c r="AO271" s="492">
        <f t="shared" si="468"/>
        <v>151285</v>
      </c>
      <c r="AP271" s="492">
        <f t="shared" si="468"/>
        <v>4476</v>
      </c>
      <c r="AQ271" s="578">
        <f t="shared" si="468"/>
        <v>0</v>
      </c>
      <c r="AR271" s="626">
        <f t="shared" si="469"/>
        <v>1</v>
      </c>
    </row>
    <row r="272" spans="1:44" ht="14.1" customHeight="1" x14ac:dyDescent="0.2">
      <c r="A272" s="499">
        <v>69</v>
      </c>
      <c r="B272" s="512">
        <v>2302</v>
      </c>
      <c r="C272" s="513">
        <v>600080366</v>
      </c>
      <c r="D272" s="512">
        <v>70983127</v>
      </c>
      <c r="E272" s="511" t="s">
        <v>654</v>
      </c>
      <c r="F272" s="499">
        <v>3114</v>
      </c>
      <c r="G272" s="117" t="s">
        <v>511</v>
      </c>
      <c r="H272" s="495" t="s">
        <v>262</v>
      </c>
      <c r="I272" s="627">
        <f t="shared" si="456"/>
        <v>9180494</v>
      </c>
      <c r="J272" s="14">
        <v>6810455</v>
      </c>
      <c r="K272" s="14">
        <v>2301934</v>
      </c>
      <c r="L272" s="14">
        <v>68105</v>
      </c>
      <c r="M272" s="14">
        <v>0</v>
      </c>
      <c r="N272" s="121">
        <v>8.6363000000000003</v>
      </c>
      <c r="O272" s="696">
        <f t="shared" si="457"/>
        <v>0</v>
      </c>
      <c r="P272" s="492">
        <v>0</v>
      </c>
      <c r="Q272" s="492">
        <v>0</v>
      </c>
      <c r="R272" s="492">
        <v>0</v>
      </c>
      <c r="S272" s="492">
        <v>0</v>
      </c>
      <c r="T272" s="492">
        <v>0</v>
      </c>
      <c r="U272" s="492">
        <f t="shared" si="458"/>
        <v>0</v>
      </c>
      <c r="V272" s="492">
        <v>0</v>
      </c>
      <c r="W272" s="492">
        <v>0</v>
      </c>
      <c r="X272" s="492">
        <v>0</v>
      </c>
      <c r="Y272" s="492">
        <f t="shared" si="459"/>
        <v>0</v>
      </c>
      <c r="Z272" s="492">
        <f t="shared" si="460"/>
        <v>0</v>
      </c>
      <c r="AA272" s="494">
        <f t="shared" si="461"/>
        <v>0</v>
      </c>
      <c r="AB272" s="494">
        <f t="shared" si="462"/>
        <v>0</v>
      </c>
      <c r="AC272" s="14">
        <v>0</v>
      </c>
      <c r="AD272" s="892">
        <f t="shared" si="463"/>
        <v>0</v>
      </c>
      <c r="AE272" s="702">
        <v>0</v>
      </c>
      <c r="AF272" s="702">
        <v>0</v>
      </c>
      <c r="AG272" s="491">
        <v>0</v>
      </c>
      <c r="AH272" s="491">
        <v>0</v>
      </c>
      <c r="AI272" s="491">
        <v>0</v>
      </c>
      <c r="AJ272" s="491">
        <v>0</v>
      </c>
      <c r="AK272" s="626">
        <f t="shared" si="464"/>
        <v>0</v>
      </c>
      <c r="AL272" s="696">
        <f t="shared" si="465"/>
        <v>9180494</v>
      </c>
      <c r="AM272" s="492">
        <f t="shared" si="466"/>
        <v>6810455</v>
      </c>
      <c r="AN272" s="492">
        <f t="shared" si="467"/>
        <v>0</v>
      </c>
      <c r="AO272" s="492">
        <f t="shared" si="468"/>
        <v>2301934</v>
      </c>
      <c r="AP272" s="492">
        <f t="shared" si="468"/>
        <v>68105</v>
      </c>
      <c r="AQ272" s="578">
        <f t="shared" si="468"/>
        <v>0</v>
      </c>
      <c r="AR272" s="626">
        <f t="shared" si="469"/>
        <v>8.6363000000000003</v>
      </c>
    </row>
    <row r="273" spans="1:44" ht="14.1" customHeight="1" x14ac:dyDescent="0.2">
      <c r="A273" s="499">
        <v>69</v>
      </c>
      <c r="B273" s="512">
        <v>2302</v>
      </c>
      <c r="C273" s="513">
        <v>600080366</v>
      </c>
      <c r="D273" s="512">
        <v>70983127</v>
      </c>
      <c r="E273" s="511" t="s">
        <v>654</v>
      </c>
      <c r="F273" s="499">
        <v>3114</v>
      </c>
      <c r="G273" s="39" t="s">
        <v>279</v>
      </c>
      <c r="H273" s="495" t="s">
        <v>262</v>
      </c>
      <c r="I273" s="627">
        <f t="shared" si="456"/>
        <v>2909296</v>
      </c>
      <c r="J273" s="14">
        <v>2158232</v>
      </c>
      <c r="K273" s="14">
        <v>729482</v>
      </c>
      <c r="L273" s="14">
        <v>21582</v>
      </c>
      <c r="M273" s="14">
        <v>0</v>
      </c>
      <c r="N273" s="121">
        <v>4.9387999999999996</v>
      </c>
      <c r="O273" s="696">
        <f t="shared" si="457"/>
        <v>0</v>
      </c>
      <c r="P273" s="492">
        <v>0</v>
      </c>
      <c r="Q273" s="492">
        <v>0</v>
      </c>
      <c r="R273" s="492">
        <v>0</v>
      </c>
      <c r="S273" s="492">
        <v>0</v>
      </c>
      <c r="T273" s="492">
        <v>0</v>
      </c>
      <c r="U273" s="492">
        <f t="shared" si="458"/>
        <v>0</v>
      </c>
      <c r="V273" s="492">
        <v>0</v>
      </c>
      <c r="W273" s="492">
        <v>0</v>
      </c>
      <c r="X273" s="492">
        <v>0</v>
      </c>
      <c r="Y273" s="492">
        <f t="shared" si="459"/>
        <v>0</v>
      </c>
      <c r="Z273" s="492">
        <f t="shared" si="460"/>
        <v>0</v>
      </c>
      <c r="AA273" s="494">
        <f t="shared" si="461"/>
        <v>0</v>
      </c>
      <c r="AB273" s="494">
        <f t="shared" si="462"/>
        <v>0</v>
      </c>
      <c r="AC273" s="14">
        <v>0</v>
      </c>
      <c r="AD273" s="892">
        <f t="shared" si="463"/>
        <v>0</v>
      </c>
      <c r="AE273" s="702">
        <v>0</v>
      </c>
      <c r="AF273" s="702">
        <v>0</v>
      </c>
      <c r="AG273" s="491">
        <v>0</v>
      </c>
      <c r="AH273" s="491">
        <v>0</v>
      </c>
      <c r="AI273" s="491">
        <v>0</v>
      </c>
      <c r="AJ273" s="491">
        <v>0</v>
      </c>
      <c r="AK273" s="626">
        <f t="shared" si="464"/>
        <v>0</v>
      </c>
      <c r="AL273" s="696">
        <f t="shared" si="465"/>
        <v>2909296</v>
      </c>
      <c r="AM273" s="492">
        <f t="shared" si="466"/>
        <v>2158232</v>
      </c>
      <c r="AN273" s="492">
        <f t="shared" si="467"/>
        <v>0</v>
      </c>
      <c r="AO273" s="492">
        <f t="shared" si="468"/>
        <v>729482</v>
      </c>
      <c r="AP273" s="492">
        <f t="shared" si="468"/>
        <v>21582</v>
      </c>
      <c r="AQ273" s="578">
        <f t="shared" si="468"/>
        <v>0</v>
      </c>
      <c r="AR273" s="626">
        <f t="shared" si="469"/>
        <v>4.9387999999999996</v>
      </c>
    </row>
    <row r="274" spans="1:44" ht="14.1" customHeight="1" x14ac:dyDescent="0.2">
      <c r="A274" s="499">
        <v>69</v>
      </c>
      <c r="B274" s="512">
        <v>2302</v>
      </c>
      <c r="C274" s="513">
        <v>600080366</v>
      </c>
      <c r="D274" s="512">
        <v>70983127</v>
      </c>
      <c r="E274" s="511" t="s">
        <v>654</v>
      </c>
      <c r="F274" s="499">
        <v>3114</v>
      </c>
      <c r="G274" s="514" t="s">
        <v>278</v>
      </c>
      <c r="H274" s="495" t="s">
        <v>263</v>
      </c>
      <c r="I274" s="627">
        <f t="shared" si="456"/>
        <v>0</v>
      </c>
      <c r="J274" s="490">
        <v>0</v>
      </c>
      <c r="K274" s="14">
        <v>0</v>
      </c>
      <c r="L274" s="14">
        <v>0</v>
      </c>
      <c r="M274" s="14">
        <v>0</v>
      </c>
      <c r="N274" s="682">
        <v>0</v>
      </c>
      <c r="O274" s="696">
        <f t="shared" si="457"/>
        <v>0</v>
      </c>
      <c r="P274" s="490">
        <v>1388965</v>
      </c>
      <c r="Q274" s="492">
        <v>0</v>
      </c>
      <c r="R274" s="492">
        <v>0</v>
      </c>
      <c r="S274" s="492">
        <v>0</v>
      </c>
      <c r="T274" s="492">
        <v>0</v>
      </c>
      <c r="U274" s="492">
        <f t="shared" si="458"/>
        <v>1388965</v>
      </c>
      <c r="V274" s="492">
        <v>0</v>
      </c>
      <c r="W274" s="492">
        <v>0</v>
      </c>
      <c r="X274" s="492">
        <v>0</v>
      </c>
      <c r="Y274" s="492">
        <f t="shared" si="459"/>
        <v>0</v>
      </c>
      <c r="Z274" s="492">
        <f t="shared" si="460"/>
        <v>1388965</v>
      </c>
      <c r="AA274" s="494">
        <f t="shared" si="461"/>
        <v>469470</v>
      </c>
      <c r="AB274" s="494">
        <f t="shared" si="462"/>
        <v>13890</v>
      </c>
      <c r="AC274" s="14">
        <v>0</v>
      </c>
      <c r="AD274" s="892">
        <f t="shared" si="463"/>
        <v>1872325</v>
      </c>
      <c r="AE274" s="702">
        <v>0</v>
      </c>
      <c r="AF274" s="121">
        <v>3.5</v>
      </c>
      <c r="AG274" s="491">
        <v>0</v>
      </c>
      <c r="AH274" s="491">
        <v>0</v>
      </c>
      <c r="AI274" s="491">
        <v>0</v>
      </c>
      <c r="AJ274" s="491">
        <v>0</v>
      </c>
      <c r="AK274" s="626">
        <f t="shared" si="464"/>
        <v>3.5</v>
      </c>
      <c r="AL274" s="696">
        <f t="shared" si="465"/>
        <v>1872325</v>
      </c>
      <c r="AM274" s="492">
        <f t="shared" si="466"/>
        <v>1388965</v>
      </c>
      <c r="AN274" s="492">
        <f t="shared" si="467"/>
        <v>0</v>
      </c>
      <c r="AO274" s="492">
        <f t="shared" si="468"/>
        <v>469470</v>
      </c>
      <c r="AP274" s="492">
        <f t="shared" si="468"/>
        <v>13890</v>
      </c>
      <c r="AQ274" s="578">
        <f t="shared" si="468"/>
        <v>0</v>
      </c>
      <c r="AR274" s="626">
        <f t="shared" si="469"/>
        <v>3.5</v>
      </c>
    </row>
    <row r="275" spans="1:44" ht="14.1" customHeight="1" x14ac:dyDescent="0.2">
      <c r="A275" s="499">
        <v>69</v>
      </c>
      <c r="B275" s="512">
        <v>2302</v>
      </c>
      <c r="C275" s="513">
        <v>600080366</v>
      </c>
      <c r="D275" s="512">
        <v>70983127</v>
      </c>
      <c r="E275" s="511" t="s">
        <v>654</v>
      </c>
      <c r="F275" s="499">
        <v>3143</v>
      </c>
      <c r="G275" s="514" t="s">
        <v>794</v>
      </c>
      <c r="H275" s="495" t="s">
        <v>262</v>
      </c>
      <c r="I275" s="627">
        <f t="shared" si="456"/>
        <v>678195</v>
      </c>
      <c r="J275" s="14">
        <v>503112</v>
      </c>
      <c r="K275" s="14">
        <v>170052</v>
      </c>
      <c r="L275" s="14">
        <v>5031</v>
      </c>
      <c r="M275" s="14">
        <v>0</v>
      </c>
      <c r="N275" s="121">
        <v>1</v>
      </c>
      <c r="O275" s="696">
        <f t="shared" si="457"/>
        <v>0</v>
      </c>
      <c r="P275" s="492">
        <v>0</v>
      </c>
      <c r="Q275" s="492">
        <v>0</v>
      </c>
      <c r="R275" s="492">
        <v>0</v>
      </c>
      <c r="S275" s="492">
        <v>0</v>
      </c>
      <c r="T275" s="492">
        <v>0</v>
      </c>
      <c r="U275" s="492">
        <f t="shared" si="458"/>
        <v>0</v>
      </c>
      <c r="V275" s="492">
        <v>0</v>
      </c>
      <c r="W275" s="492">
        <v>0</v>
      </c>
      <c r="X275" s="492">
        <v>0</v>
      </c>
      <c r="Y275" s="492">
        <f t="shared" si="459"/>
        <v>0</v>
      </c>
      <c r="Z275" s="492">
        <f t="shared" si="460"/>
        <v>0</v>
      </c>
      <c r="AA275" s="494">
        <f t="shared" si="461"/>
        <v>0</v>
      </c>
      <c r="AB275" s="494">
        <f t="shared" si="462"/>
        <v>0</v>
      </c>
      <c r="AC275" s="14">
        <v>0</v>
      </c>
      <c r="AD275" s="892">
        <f t="shared" si="463"/>
        <v>0</v>
      </c>
      <c r="AE275" s="702">
        <v>0</v>
      </c>
      <c r="AF275" s="702">
        <v>0</v>
      </c>
      <c r="AG275" s="491">
        <v>0</v>
      </c>
      <c r="AH275" s="491">
        <v>0</v>
      </c>
      <c r="AI275" s="491">
        <v>0</v>
      </c>
      <c r="AJ275" s="491">
        <v>0</v>
      </c>
      <c r="AK275" s="626">
        <f t="shared" si="464"/>
        <v>0</v>
      </c>
      <c r="AL275" s="696">
        <f t="shared" si="465"/>
        <v>678195</v>
      </c>
      <c r="AM275" s="492">
        <f t="shared" si="466"/>
        <v>503112</v>
      </c>
      <c r="AN275" s="492">
        <f t="shared" si="467"/>
        <v>0</v>
      </c>
      <c r="AO275" s="492">
        <f t="shared" si="468"/>
        <v>170052</v>
      </c>
      <c r="AP275" s="492">
        <f t="shared" si="468"/>
        <v>5031</v>
      </c>
      <c r="AQ275" s="578">
        <f t="shared" si="468"/>
        <v>0</v>
      </c>
      <c r="AR275" s="626">
        <f t="shared" si="469"/>
        <v>1</v>
      </c>
    </row>
    <row r="276" spans="1:44" ht="14.1" customHeight="1" x14ac:dyDescent="0.2">
      <c r="A276" s="510">
        <v>69</v>
      </c>
      <c r="B276" s="508">
        <v>2302</v>
      </c>
      <c r="C276" s="509">
        <v>600080366</v>
      </c>
      <c r="D276" s="508">
        <v>70983127</v>
      </c>
      <c r="E276" s="506" t="s">
        <v>655</v>
      </c>
      <c r="F276" s="510"/>
      <c r="G276" s="506"/>
      <c r="H276" s="505"/>
      <c r="I276" s="629">
        <f t="shared" ref="I276:AR276" si="470">SUM(I270:I275)</f>
        <v>18173605</v>
      </c>
      <c r="J276" s="504">
        <f t="shared" si="470"/>
        <v>13481903</v>
      </c>
      <c r="K276" s="504">
        <f t="shared" si="470"/>
        <v>4556883</v>
      </c>
      <c r="L276" s="504">
        <f t="shared" si="470"/>
        <v>134819</v>
      </c>
      <c r="M276" s="504">
        <f t="shared" si="470"/>
        <v>0</v>
      </c>
      <c r="N276" s="885">
        <f t="shared" si="470"/>
        <v>21.575099999999999</v>
      </c>
      <c r="O276" s="629">
        <f t="shared" si="470"/>
        <v>0</v>
      </c>
      <c r="P276" s="503">
        <f t="shared" si="470"/>
        <v>1388965</v>
      </c>
      <c r="Q276" s="503">
        <f t="shared" si="470"/>
        <v>0</v>
      </c>
      <c r="R276" s="503">
        <f t="shared" si="470"/>
        <v>0</v>
      </c>
      <c r="S276" s="503">
        <f t="shared" si="470"/>
        <v>0</v>
      </c>
      <c r="T276" s="503">
        <f t="shared" si="470"/>
        <v>0</v>
      </c>
      <c r="U276" s="503">
        <f t="shared" si="470"/>
        <v>1388965</v>
      </c>
      <c r="V276" s="503">
        <f t="shared" si="470"/>
        <v>0</v>
      </c>
      <c r="W276" s="503">
        <f t="shared" si="470"/>
        <v>0</v>
      </c>
      <c r="X276" s="503">
        <f t="shared" si="470"/>
        <v>0</v>
      </c>
      <c r="Y276" s="503">
        <f t="shared" si="470"/>
        <v>0</v>
      </c>
      <c r="Z276" s="503">
        <f t="shared" si="470"/>
        <v>1388965</v>
      </c>
      <c r="AA276" s="503">
        <f t="shared" si="470"/>
        <v>469470</v>
      </c>
      <c r="AB276" s="503">
        <f t="shared" si="470"/>
        <v>13890</v>
      </c>
      <c r="AC276" s="503">
        <f t="shared" si="470"/>
        <v>0</v>
      </c>
      <c r="AD276" s="891">
        <f t="shared" si="470"/>
        <v>1872325</v>
      </c>
      <c r="AE276" s="701">
        <f t="shared" si="470"/>
        <v>0</v>
      </c>
      <c r="AF276" s="701">
        <f t="shared" si="470"/>
        <v>3.5</v>
      </c>
      <c r="AG276" s="502">
        <f t="shared" si="470"/>
        <v>0</v>
      </c>
      <c r="AH276" s="502">
        <f t="shared" si="470"/>
        <v>0</v>
      </c>
      <c r="AI276" s="502">
        <f t="shared" si="470"/>
        <v>0</v>
      </c>
      <c r="AJ276" s="502">
        <f t="shared" si="470"/>
        <v>0</v>
      </c>
      <c r="AK276" s="630">
        <f t="shared" si="470"/>
        <v>3.5</v>
      </c>
      <c r="AL276" s="629">
        <f t="shared" si="470"/>
        <v>20045930</v>
      </c>
      <c r="AM276" s="503">
        <f t="shared" si="470"/>
        <v>14870868</v>
      </c>
      <c r="AN276" s="552">
        <f t="shared" si="470"/>
        <v>0</v>
      </c>
      <c r="AO276" s="503">
        <f t="shared" si="470"/>
        <v>5026353</v>
      </c>
      <c r="AP276" s="503">
        <f t="shared" si="470"/>
        <v>148709</v>
      </c>
      <c r="AQ276" s="503">
        <f t="shared" si="470"/>
        <v>0</v>
      </c>
      <c r="AR276" s="630">
        <f t="shared" si="470"/>
        <v>25.075099999999999</v>
      </c>
    </row>
    <row r="277" spans="1:44" ht="14.1" customHeight="1" x14ac:dyDescent="0.2">
      <c r="A277" s="499">
        <v>70</v>
      </c>
      <c r="B277" s="512">
        <v>2454</v>
      </c>
      <c r="C277" s="513">
        <v>600079759</v>
      </c>
      <c r="D277" s="512">
        <v>70983119</v>
      </c>
      <c r="E277" s="511" t="s">
        <v>656</v>
      </c>
      <c r="F277" s="499">
        <v>3117</v>
      </c>
      <c r="G277" s="511" t="s">
        <v>280</v>
      </c>
      <c r="H277" s="495" t="s">
        <v>262</v>
      </c>
      <c r="I277" s="627">
        <f t="shared" si="456"/>
        <v>7211888</v>
      </c>
      <c r="J277" s="14">
        <v>5350065</v>
      </c>
      <c r="K277" s="14">
        <v>1808322</v>
      </c>
      <c r="L277" s="14">
        <v>53501</v>
      </c>
      <c r="M277" s="14">
        <v>0</v>
      </c>
      <c r="N277" s="121">
        <v>7.7725999999999997</v>
      </c>
      <c r="O277" s="696">
        <f t="shared" si="457"/>
        <v>-50000</v>
      </c>
      <c r="P277" s="492">
        <v>0</v>
      </c>
      <c r="Q277" s="492">
        <v>0</v>
      </c>
      <c r="R277" s="492">
        <v>0</v>
      </c>
      <c r="S277" s="492">
        <v>0</v>
      </c>
      <c r="T277" s="492">
        <v>0</v>
      </c>
      <c r="U277" s="492">
        <f>O277+P277+Q277+R277+S277+T277</f>
        <v>-50000</v>
      </c>
      <c r="V277" s="492">
        <v>50000</v>
      </c>
      <c r="W277" s="492">
        <v>0</v>
      </c>
      <c r="X277" s="492">
        <v>0</v>
      </c>
      <c r="Y277" s="492">
        <f t="shared" ref="Y277:Y279" si="471">V277+W277+X277</f>
        <v>50000</v>
      </c>
      <c r="Z277" s="492">
        <f t="shared" ref="Z277:Z279" si="472">U277+Y277</f>
        <v>0</v>
      </c>
      <c r="AA277" s="494">
        <f t="shared" ref="AA277:AA279" si="473">ROUND((U277+Y277)*33.8%,0)</f>
        <v>0</v>
      </c>
      <c r="AB277" s="494">
        <f>ROUND(U277*1%,0)</f>
        <v>-500</v>
      </c>
      <c r="AC277" s="14">
        <v>0</v>
      </c>
      <c r="AD277" s="892">
        <f t="shared" si="463"/>
        <v>-500</v>
      </c>
      <c r="AE277" s="702">
        <v>-0.04</v>
      </c>
      <c r="AF277" s="702">
        <v>0</v>
      </c>
      <c r="AG277" s="491">
        <v>0</v>
      </c>
      <c r="AH277" s="491">
        <v>0</v>
      </c>
      <c r="AI277" s="491">
        <v>0</v>
      </c>
      <c r="AJ277" s="491">
        <v>0</v>
      </c>
      <c r="AK277" s="626">
        <f>SUM(AE277:AJ277)</f>
        <v>-0.04</v>
      </c>
      <c r="AL277" s="696">
        <f>I277+AD277</f>
        <v>7211388</v>
      </c>
      <c r="AM277" s="492">
        <f>J277+U277</f>
        <v>5300065</v>
      </c>
      <c r="AN277" s="492">
        <f>Y277</f>
        <v>50000</v>
      </c>
      <c r="AO277" s="492">
        <f t="shared" ref="AO277:AQ279" si="474">K277+AA277</f>
        <v>1808322</v>
      </c>
      <c r="AP277" s="492">
        <f t="shared" si="474"/>
        <v>53001</v>
      </c>
      <c r="AQ277" s="578">
        <f t="shared" si="474"/>
        <v>0</v>
      </c>
      <c r="AR277" s="626">
        <f>N277+AK277</f>
        <v>7.7325999999999997</v>
      </c>
    </row>
    <row r="278" spans="1:44" ht="14.1" customHeight="1" x14ac:dyDescent="0.2">
      <c r="A278" s="499">
        <v>70</v>
      </c>
      <c r="B278" s="512">
        <v>2454</v>
      </c>
      <c r="C278" s="513">
        <v>600079759</v>
      </c>
      <c r="D278" s="512">
        <v>70983119</v>
      </c>
      <c r="E278" s="511" t="s">
        <v>656</v>
      </c>
      <c r="F278" s="499">
        <v>3117</v>
      </c>
      <c r="G278" s="514" t="s">
        <v>278</v>
      </c>
      <c r="H278" s="495" t="s">
        <v>263</v>
      </c>
      <c r="I278" s="627">
        <f t="shared" si="456"/>
        <v>0</v>
      </c>
      <c r="J278" s="490">
        <v>0</v>
      </c>
      <c r="K278" s="14">
        <v>0</v>
      </c>
      <c r="L278" s="14">
        <v>0</v>
      </c>
      <c r="M278" s="14">
        <v>0</v>
      </c>
      <c r="N278" s="682">
        <v>0</v>
      </c>
      <c r="O278" s="696">
        <f t="shared" si="457"/>
        <v>0</v>
      </c>
      <c r="P278" s="490">
        <f>1821376-24283</f>
        <v>1797093</v>
      </c>
      <c r="Q278" s="492">
        <v>0</v>
      </c>
      <c r="R278" s="492">
        <v>0</v>
      </c>
      <c r="S278" s="492">
        <v>0</v>
      </c>
      <c r="T278" s="492">
        <v>0</v>
      </c>
      <c r="U278" s="492">
        <f>O278+P278+Q278+R278+S278+T278</f>
        <v>1797093</v>
      </c>
      <c r="V278" s="492">
        <v>0</v>
      </c>
      <c r="W278" s="492">
        <v>0</v>
      </c>
      <c r="X278" s="492">
        <v>0</v>
      </c>
      <c r="Y278" s="492">
        <f t="shared" si="471"/>
        <v>0</v>
      </c>
      <c r="Z278" s="492">
        <f t="shared" si="472"/>
        <v>1797093</v>
      </c>
      <c r="AA278" s="494">
        <f t="shared" si="473"/>
        <v>607417</v>
      </c>
      <c r="AB278" s="494">
        <f>ROUND(U278*1%,0)</f>
        <v>17971</v>
      </c>
      <c r="AC278" s="14">
        <v>0</v>
      </c>
      <c r="AD278" s="892">
        <f t="shared" si="463"/>
        <v>2422481</v>
      </c>
      <c r="AE278" s="702">
        <v>0</v>
      </c>
      <c r="AF278" s="121">
        <f>4.46-0.05</f>
        <v>4.41</v>
      </c>
      <c r="AG278" s="491">
        <v>0</v>
      </c>
      <c r="AH278" s="491">
        <v>0</v>
      </c>
      <c r="AI278" s="491">
        <v>0</v>
      </c>
      <c r="AJ278" s="491">
        <v>0</v>
      </c>
      <c r="AK278" s="626">
        <f>SUM(AE278:AJ278)</f>
        <v>4.41</v>
      </c>
      <c r="AL278" s="696">
        <f>I278+AD278</f>
        <v>2422481</v>
      </c>
      <c r="AM278" s="492">
        <f>J278+U278</f>
        <v>1797093</v>
      </c>
      <c r="AN278" s="492">
        <f>Y278</f>
        <v>0</v>
      </c>
      <c r="AO278" s="492">
        <f t="shared" si="474"/>
        <v>607417</v>
      </c>
      <c r="AP278" s="492">
        <f t="shared" si="474"/>
        <v>17971</v>
      </c>
      <c r="AQ278" s="578">
        <f t="shared" si="474"/>
        <v>0</v>
      </c>
      <c r="AR278" s="626">
        <f>N278+AK278</f>
        <v>4.41</v>
      </c>
    </row>
    <row r="279" spans="1:44" ht="14.1" customHeight="1" x14ac:dyDescent="0.2">
      <c r="A279" s="499">
        <v>70</v>
      </c>
      <c r="B279" s="512">
        <v>2454</v>
      </c>
      <c r="C279" s="513">
        <v>600079759</v>
      </c>
      <c r="D279" s="512">
        <v>70983119</v>
      </c>
      <c r="E279" s="511" t="s">
        <v>656</v>
      </c>
      <c r="F279" s="499">
        <v>3143</v>
      </c>
      <c r="G279" s="514" t="s">
        <v>795</v>
      </c>
      <c r="H279" s="495" t="s">
        <v>262</v>
      </c>
      <c r="I279" s="627">
        <f t="shared" si="456"/>
        <v>1091920</v>
      </c>
      <c r="J279" s="14">
        <v>810030</v>
      </c>
      <c r="K279" s="14">
        <v>273790</v>
      </c>
      <c r="L279" s="14">
        <v>8100</v>
      </c>
      <c r="M279" s="14">
        <v>0</v>
      </c>
      <c r="N279" s="121">
        <v>1.5570999999999999</v>
      </c>
      <c r="O279" s="696">
        <f t="shared" si="457"/>
        <v>0</v>
      </c>
      <c r="P279" s="492">
        <v>0</v>
      </c>
      <c r="Q279" s="492">
        <v>0</v>
      </c>
      <c r="R279" s="492">
        <v>0</v>
      </c>
      <c r="S279" s="492">
        <v>0</v>
      </c>
      <c r="T279" s="492">
        <v>0</v>
      </c>
      <c r="U279" s="492">
        <f>O279+P279+Q279+R279+S279+T279</f>
        <v>0</v>
      </c>
      <c r="V279" s="492">
        <v>0</v>
      </c>
      <c r="W279" s="492">
        <v>0</v>
      </c>
      <c r="X279" s="492">
        <v>0</v>
      </c>
      <c r="Y279" s="492">
        <f t="shared" si="471"/>
        <v>0</v>
      </c>
      <c r="Z279" s="492">
        <f t="shared" si="472"/>
        <v>0</v>
      </c>
      <c r="AA279" s="494">
        <f t="shared" si="473"/>
        <v>0</v>
      </c>
      <c r="AB279" s="494">
        <f>ROUND(U279*1%,0)</f>
        <v>0</v>
      </c>
      <c r="AC279" s="14">
        <v>0</v>
      </c>
      <c r="AD279" s="892">
        <f t="shared" si="463"/>
        <v>0</v>
      </c>
      <c r="AE279" s="702">
        <v>0</v>
      </c>
      <c r="AF279" s="702">
        <v>0</v>
      </c>
      <c r="AG279" s="491">
        <v>0</v>
      </c>
      <c r="AH279" s="491">
        <v>0</v>
      </c>
      <c r="AI279" s="491">
        <v>0</v>
      </c>
      <c r="AJ279" s="491">
        <v>0</v>
      </c>
      <c r="AK279" s="626">
        <f>SUM(AE279:AJ279)</f>
        <v>0</v>
      </c>
      <c r="AL279" s="696">
        <f>I279+AD279</f>
        <v>1091920</v>
      </c>
      <c r="AM279" s="492">
        <f>J279+U279</f>
        <v>810030</v>
      </c>
      <c r="AN279" s="492">
        <f>Y279</f>
        <v>0</v>
      </c>
      <c r="AO279" s="492">
        <f t="shared" si="474"/>
        <v>273790</v>
      </c>
      <c r="AP279" s="492">
        <f t="shared" si="474"/>
        <v>8100</v>
      </c>
      <c r="AQ279" s="578">
        <f t="shared" si="474"/>
        <v>0</v>
      </c>
      <c r="AR279" s="626">
        <f>N279+AK279</f>
        <v>1.5570999999999999</v>
      </c>
    </row>
    <row r="280" spans="1:44" ht="14.1" customHeight="1" x14ac:dyDescent="0.2">
      <c r="A280" s="510">
        <v>70</v>
      </c>
      <c r="B280" s="508">
        <v>2454</v>
      </c>
      <c r="C280" s="509">
        <v>600079759</v>
      </c>
      <c r="D280" s="508">
        <v>70983119</v>
      </c>
      <c r="E280" s="506" t="s">
        <v>657</v>
      </c>
      <c r="F280" s="510"/>
      <c r="G280" s="506"/>
      <c r="H280" s="505"/>
      <c r="I280" s="629">
        <f t="shared" ref="I280:AR280" si="475">SUM(I277:I279)</f>
        <v>8303808</v>
      </c>
      <c r="J280" s="504">
        <f t="shared" si="475"/>
        <v>6160095</v>
      </c>
      <c r="K280" s="504">
        <f t="shared" si="475"/>
        <v>2082112</v>
      </c>
      <c r="L280" s="504">
        <f t="shared" si="475"/>
        <v>61601</v>
      </c>
      <c r="M280" s="504">
        <f t="shared" si="475"/>
        <v>0</v>
      </c>
      <c r="N280" s="885">
        <f t="shared" si="475"/>
        <v>9.329699999999999</v>
      </c>
      <c r="O280" s="629">
        <f t="shared" si="475"/>
        <v>-50000</v>
      </c>
      <c r="P280" s="503">
        <f t="shared" si="475"/>
        <v>1797093</v>
      </c>
      <c r="Q280" s="503">
        <f t="shared" si="475"/>
        <v>0</v>
      </c>
      <c r="R280" s="503">
        <f t="shared" si="475"/>
        <v>0</v>
      </c>
      <c r="S280" s="503">
        <f t="shared" si="475"/>
        <v>0</v>
      </c>
      <c r="T280" s="503">
        <f t="shared" si="475"/>
        <v>0</v>
      </c>
      <c r="U280" s="503">
        <f t="shared" si="475"/>
        <v>1747093</v>
      </c>
      <c r="V280" s="503">
        <f t="shared" si="475"/>
        <v>50000</v>
      </c>
      <c r="W280" s="503">
        <f t="shared" si="475"/>
        <v>0</v>
      </c>
      <c r="X280" s="503">
        <f t="shared" si="475"/>
        <v>0</v>
      </c>
      <c r="Y280" s="503">
        <f t="shared" si="475"/>
        <v>50000</v>
      </c>
      <c r="Z280" s="503">
        <f t="shared" si="475"/>
        <v>1797093</v>
      </c>
      <c r="AA280" s="503">
        <f t="shared" si="475"/>
        <v>607417</v>
      </c>
      <c r="AB280" s="503">
        <f t="shared" si="475"/>
        <v>17471</v>
      </c>
      <c r="AC280" s="503">
        <f t="shared" si="475"/>
        <v>0</v>
      </c>
      <c r="AD280" s="891">
        <f t="shared" si="475"/>
        <v>2421981</v>
      </c>
      <c r="AE280" s="701">
        <f t="shared" si="475"/>
        <v>-0.04</v>
      </c>
      <c r="AF280" s="701">
        <f t="shared" si="475"/>
        <v>4.41</v>
      </c>
      <c r="AG280" s="502">
        <f t="shared" si="475"/>
        <v>0</v>
      </c>
      <c r="AH280" s="502">
        <f t="shared" si="475"/>
        <v>0</v>
      </c>
      <c r="AI280" s="502">
        <f t="shared" si="475"/>
        <v>0</v>
      </c>
      <c r="AJ280" s="502">
        <f t="shared" si="475"/>
        <v>0</v>
      </c>
      <c r="AK280" s="630">
        <f t="shared" si="475"/>
        <v>4.37</v>
      </c>
      <c r="AL280" s="629">
        <f t="shared" si="475"/>
        <v>10725789</v>
      </c>
      <c r="AM280" s="503">
        <f t="shared" si="475"/>
        <v>7907188</v>
      </c>
      <c r="AN280" s="552">
        <f t="shared" si="475"/>
        <v>50000</v>
      </c>
      <c r="AO280" s="503">
        <f t="shared" si="475"/>
        <v>2689529</v>
      </c>
      <c r="AP280" s="503">
        <f t="shared" si="475"/>
        <v>79072</v>
      </c>
      <c r="AQ280" s="503">
        <f t="shared" si="475"/>
        <v>0</v>
      </c>
      <c r="AR280" s="630">
        <f t="shared" si="475"/>
        <v>13.6997</v>
      </c>
    </row>
    <row r="281" spans="1:44" ht="14.1" customHeight="1" x14ac:dyDescent="0.2">
      <c r="A281" s="499">
        <v>71</v>
      </c>
      <c r="B281" s="512">
        <v>2492</v>
      </c>
      <c r="C281" s="513">
        <v>600079767</v>
      </c>
      <c r="D281" s="512">
        <v>70983011</v>
      </c>
      <c r="E281" s="511" t="s">
        <v>738</v>
      </c>
      <c r="F281" s="499">
        <v>3113</v>
      </c>
      <c r="G281" s="511" t="s">
        <v>280</v>
      </c>
      <c r="H281" s="495" t="s">
        <v>262</v>
      </c>
      <c r="I281" s="627">
        <f t="shared" si="456"/>
        <v>25167700</v>
      </c>
      <c r="J281" s="14">
        <v>18670400</v>
      </c>
      <c r="K281" s="14">
        <v>6310596</v>
      </c>
      <c r="L281" s="14">
        <v>186704</v>
      </c>
      <c r="M281" s="14">
        <v>0</v>
      </c>
      <c r="N281" s="121">
        <v>26.681899999999999</v>
      </c>
      <c r="O281" s="696">
        <f t="shared" si="457"/>
        <v>0</v>
      </c>
      <c r="P281" s="492">
        <v>0</v>
      </c>
      <c r="Q281" s="492">
        <v>30580</v>
      </c>
      <c r="R281" s="492">
        <v>0</v>
      </c>
      <c r="S281" s="492">
        <v>0</v>
      </c>
      <c r="T281" s="492">
        <v>0</v>
      </c>
      <c r="U281" s="492">
        <f>O281+P281+Q281+R281+S281+T281</f>
        <v>30580</v>
      </c>
      <c r="V281" s="492">
        <v>0</v>
      </c>
      <c r="W281" s="492">
        <v>0</v>
      </c>
      <c r="X281" s="492">
        <v>0</v>
      </c>
      <c r="Y281" s="492">
        <f t="shared" ref="Y281:Y285" si="476">V281+W281+X281</f>
        <v>0</v>
      </c>
      <c r="Z281" s="492">
        <f t="shared" ref="Z281:Z285" si="477">U281+Y281</f>
        <v>30580</v>
      </c>
      <c r="AA281" s="494">
        <f t="shared" ref="AA281:AA285" si="478">ROUND((U281+Y281)*33.8%,0)</f>
        <v>10336</v>
      </c>
      <c r="AB281" s="494">
        <f t="shared" ref="AB281:AB285" si="479">ROUND(U281*1%,0)</f>
        <v>306</v>
      </c>
      <c r="AC281" s="14">
        <v>0</v>
      </c>
      <c r="AD281" s="892">
        <f t="shared" si="463"/>
        <v>41222</v>
      </c>
      <c r="AE281" s="702">
        <v>0</v>
      </c>
      <c r="AF281" s="702">
        <v>0</v>
      </c>
      <c r="AG281" s="491">
        <v>0</v>
      </c>
      <c r="AH281" s="491">
        <v>0.05</v>
      </c>
      <c r="AI281" s="491">
        <v>0</v>
      </c>
      <c r="AJ281" s="491">
        <v>0</v>
      </c>
      <c r="AK281" s="626">
        <f>SUM(AE281:AJ281)</f>
        <v>0.05</v>
      </c>
      <c r="AL281" s="696">
        <f>I281+AD281</f>
        <v>25208922</v>
      </c>
      <c r="AM281" s="492">
        <f>J281+U281</f>
        <v>18700980</v>
      </c>
      <c r="AN281" s="492">
        <f>Y281</f>
        <v>0</v>
      </c>
      <c r="AO281" s="492">
        <f t="shared" ref="AO281:AQ285" si="480">K281+AA281</f>
        <v>6320932</v>
      </c>
      <c r="AP281" s="492">
        <f t="shared" si="480"/>
        <v>187010</v>
      </c>
      <c r="AQ281" s="578">
        <f t="shared" si="480"/>
        <v>0</v>
      </c>
      <c r="AR281" s="626">
        <f>N281+AK281</f>
        <v>26.7319</v>
      </c>
    </row>
    <row r="282" spans="1:44" ht="14.1" customHeight="1" x14ac:dyDescent="0.2">
      <c r="A282" s="499">
        <v>71</v>
      </c>
      <c r="B282" s="512">
        <v>2492</v>
      </c>
      <c r="C282" s="513">
        <v>600079767</v>
      </c>
      <c r="D282" s="512">
        <v>70983011</v>
      </c>
      <c r="E282" s="511" t="s">
        <v>738</v>
      </c>
      <c r="F282" s="499">
        <v>3113</v>
      </c>
      <c r="G282" s="511" t="s">
        <v>799</v>
      </c>
      <c r="H282" s="495" t="s">
        <v>262</v>
      </c>
      <c r="I282" s="627">
        <f t="shared" si="456"/>
        <v>419678</v>
      </c>
      <c r="J282" s="14">
        <v>311334</v>
      </c>
      <c r="K282" s="14">
        <v>105231</v>
      </c>
      <c r="L282" s="14">
        <v>3113</v>
      </c>
      <c r="M282" s="14">
        <v>0</v>
      </c>
      <c r="N282" s="121">
        <v>0.5</v>
      </c>
      <c r="O282" s="696">
        <f t="shared" si="457"/>
        <v>0</v>
      </c>
      <c r="P282" s="492">
        <v>0</v>
      </c>
      <c r="Q282" s="492">
        <v>0</v>
      </c>
      <c r="R282" s="492">
        <v>0</v>
      </c>
      <c r="S282" s="492">
        <v>0</v>
      </c>
      <c r="T282" s="492">
        <v>0</v>
      </c>
      <c r="U282" s="492">
        <f>O282+P282+Q282+R282+S282+T282</f>
        <v>0</v>
      </c>
      <c r="V282" s="492">
        <v>0</v>
      </c>
      <c r="W282" s="492">
        <v>0</v>
      </c>
      <c r="X282" s="492">
        <v>0</v>
      </c>
      <c r="Y282" s="492">
        <f t="shared" ref="Y282" si="481">V282+W282+X282</f>
        <v>0</v>
      </c>
      <c r="Z282" s="492">
        <f t="shared" ref="Z282" si="482">U282+Y282</f>
        <v>0</v>
      </c>
      <c r="AA282" s="494">
        <f t="shared" ref="AA282" si="483">ROUND((U282+Y282)*33.8%,0)</f>
        <v>0</v>
      </c>
      <c r="AB282" s="494">
        <f t="shared" ref="AB282" si="484">ROUND(U282*1%,0)</f>
        <v>0</v>
      </c>
      <c r="AC282" s="14">
        <v>0</v>
      </c>
      <c r="AD282" s="892">
        <f t="shared" si="463"/>
        <v>0</v>
      </c>
      <c r="AE282" s="702">
        <v>0</v>
      </c>
      <c r="AF282" s="702">
        <v>0</v>
      </c>
      <c r="AG282" s="491">
        <v>0</v>
      </c>
      <c r="AH282" s="491">
        <v>0</v>
      </c>
      <c r="AI282" s="491">
        <v>0</v>
      </c>
      <c r="AJ282" s="491">
        <v>0</v>
      </c>
      <c r="AK282" s="626">
        <f>SUM(AE282:AJ282)</f>
        <v>0</v>
      </c>
      <c r="AL282" s="696">
        <f>I282+AD282</f>
        <v>419678</v>
      </c>
      <c r="AM282" s="492">
        <f>J282+U282</f>
        <v>311334</v>
      </c>
      <c r="AN282" s="492">
        <f>Y282</f>
        <v>0</v>
      </c>
      <c r="AO282" s="492">
        <f t="shared" si="480"/>
        <v>105231</v>
      </c>
      <c r="AP282" s="492">
        <f t="shared" si="480"/>
        <v>3113</v>
      </c>
      <c r="AQ282" s="578">
        <f t="shared" si="480"/>
        <v>0</v>
      </c>
      <c r="AR282" s="626">
        <f>N282+AK282</f>
        <v>0.5</v>
      </c>
    </row>
    <row r="283" spans="1:44" ht="14.1" customHeight="1" x14ac:dyDescent="0.2">
      <c r="A283" s="499">
        <v>71</v>
      </c>
      <c r="B283" s="512">
        <v>2492</v>
      </c>
      <c r="C283" s="513">
        <v>600079767</v>
      </c>
      <c r="D283" s="512">
        <v>70983011</v>
      </c>
      <c r="E283" s="511" t="s">
        <v>738</v>
      </c>
      <c r="F283" s="499">
        <v>3113</v>
      </c>
      <c r="G283" s="514" t="s">
        <v>278</v>
      </c>
      <c r="H283" s="495" t="s">
        <v>263</v>
      </c>
      <c r="I283" s="627">
        <f t="shared" si="456"/>
        <v>0</v>
      </c>
      <c r="J283" s="490">
        <v>0</v>
      </c>
      <c r="K283" s="14">
        <v>0</v>
      </c>
      <c r="L283" s="14">
        <v>0</v>
      </c>
      <c r="M283" s="14">
        <v>0</v>
      </c>
      <c r="N283" s="682">
        <v>0</v>
      </c>
      <c r="O283" s="696">
        <f t="shared" si="457"/>
        <v>0</v>
      </c>
      <c r="P283" s="490">
        <f>2068214-286502</f>
        <v>1781712</v>
      </c>
      <c r="Q283" s="492">
        <v>0</v>
      </c>
      <c r="R283" s="492">
        <v>0</v>
      </c>
      <c r="S283" s="492">
        <v>0</v>
      </c>
      <c r="T283" s="492">
        <v>0</v>
      </c>
      <c r="U283" s="492">
        <f>O283+P283+Q283+R283+S283+T283</f>
        <v>1781712</v>
      </c>
      <c r="V283" s="492">
        <v>0</v>
      </c>
      <c r="W283" s="492">
        <v>0</v>
      </c>
      <c r="X283" s="492">
        <v>0</v>
      </c>
      <c r="Y283" s="492">
        <f t="shared" si="476"/>
        <v>0</v>
      </c>
      <c r="Z283" s="492">
        <f t="shared" si="477"/>
        <v>1781712</v>
      </c>
      <c r="AA283" s="494">
        <f t="shared" si="478"/>
        <v>602219</v>
      </c>
      <c r="AB283" s="494">
        <f t="shared" si="479"/>
        <v>17817</v>
      </c>
      <c r="AC283" s="14">
        <v>0</v>
      </c>
      <c r="AD283" s="892">
        <f t="shared" si="463"/>
        <v>2401748</v>
      </c>
      <c r="AE283" s="702">
        <v>0</v>
      </c>
      <c r="AF283" s="121">
        <f>4.84-0.5</f>
        <v>4.34</v>
      </c>
      <c r="AG283" s="491">
        <v>0</v>
      </c>
      <c r="AH283" s="491">
        <v>0</v>
      </c>
      <c r="AI283" s="491">
        <v>0</v>
      </c>
      <c r="AJ283" s="491">
        <v>0</v>
      </c>
      <c r="AK283" s="626">
        <f>SUM(AE283:AJ283)</f>
        <v>4.34</v>
      </c>
      <c r="AL283" s="696">
        <f>I283+AD283</f>
        <v>2401748</v>
      </c>
      <c r="AM283" s="492">
        <f>J283+U283</f>
        <v>1781712</v>
      </c>
      <c r="AN283" s="492">
        <f>Y283</f>
        <v>0</v>
      </c>
      <c r="AO283" s="492">
        <f t="shared" si="480"/>
        <v>602219</v>
      </c>
      <c r="AP283" s="492">
        <f t="shared" si="480"/>
        <v>17817</v>
      </c>
      <c r="AQ283" s="578">
        <f t="shared" si="480"/>
        <v>0</v>
      </c>
      <c r="AR283" s="626">
        <f>N283+AK283</f>
        <v>4.34</v>
      </c>
    </row>
    <row r="284" spans="1:44" ht="14.1" customHeight="1" x14ac:dyDescent="0.2">
      <c r="A284" s="499">
        <v>71</v>
      </c>
      <c r="B284" s="512">
        <v>2492</v>
      </c>
      <c r="C284" s="513">
        <v>600079767</v>
      </c>
      <c r="D284" s="512">
        <v>70983011</v>
      </c>
      <c r="E284" s="511" t="s">
        <v>738</v>
      </c>
      <c r="F284" s="499">
        <v>3143</v>
      </c>
      <c r="G284" s="514" t="s">
        <v>794</v>
      </c>
      <c r="H284" s="495" t="s">
        <v>262</v>
      </c>
      <c r="I284" s="627">
        <f t="shared" si="456"/>
        <v>1821229</v>
      </c>
      <c r="J284" s="14">
        <v>1351060</v>
      </c>
      <c r="K284" s="14">
        <v>456658</v>
      </c>
      <c r="L284" s="14">
        <v>13511</v>
      </c>
      <c r="M284" s="14">
        <v>0</v>
      </c>
      <c r="N284" s="121">
        <v>2.5</v>
      </c>
      <c r="O284" s="696">
        <f t="shared" si="457"/>
        <v>0</v>
      </c>
      <c r="P284" s="492">
        <v>0</v>
      </c>
      <c r="Q284" s="492">
        <v>0</v>
      </c>
      <c r="R284" s="492">
        <v>0</v>
      </c>
      <c r="S284" s="492">
        <v>0</v>
      </c>
      <c r="T284" s="492">
        <v>0</v>
      </c>
      <c r="U284" s="492">
        <f>O284+P284+Q284+R284+S284+T284</f>
        <v>0</v>
      </c>
      <c r="V284" s="492">
        <v>0</v>
      </c>
      <c r="W284" s="492">
        <v>0</v>
      </c>
      <c r="X284" s="492">
        <v>0</v>
      </c>
      <c r="Y284" s="492">
        <f t="shared" si="476"/>
        <v>0</v>
      </c>
      <c r="Z284" s="492">
        <f t="shared" si="477"/>
        <v>0</v>
      </c>
      <c r="AA284" s="494">
        <f t="shared" si="478"/>
        <v>0</v>
      </c>
      <c r="AB284" s="494">
        <f t="shared" si="479"/>
        <v>0</v>
      </c>
      <c r="AC284" s="14">
        <v>0</v>
      </c>
      <c r="AD284" s="892">
        <f t="shared" si="463"/>
        <v>0</v>
      </c>
      <c r="AE284" s="702">
        <v>0</v>
      </c>
      <c r="AF284" s="702">
        <v>0</v>
      </c>
      <c r="AG284" s="491">
        <v>0</v>
      </c>
      <c r="AH284" s="491">
        <v>0</v>
      </c>
      <c r="AI284" s="491">
        <v>0</v>
      </c>
      <c r="AJ284" s="491">
        <v>0</v>
      </c>
      <c r="AK284" s="626">
        <f>SUM(AE284:AJ284)</f>
        <v>0</v>
      </c>
      <c r="AL284" s="696">
        <f>I284+AD284</f>
        <v>1821229</v>
      </c>
      <c r="AM284" s="492">
        <f>J284+U284</f>
        <v>1351060</v>
      </c>
      <c r="AN284" s="492">
        <f>Y284</f>
        <v>0</v>
      </c>
      <c r="AO284" s="492">
        <f t="shared" si="480"/>
        <v>456658</v>
      </c>
      <c r="AP284" s="492">
        <f t="shared" si="480"/>
        <v>13511</v>
      </c>
      <c r="AQ284" s="578">
        <f t="shared" si="480"/>
        <v>0</v>
      </c>
      <c r="AR284" s="626">
        <f>N284+AK284</f>
        <v>2.5</v>
      </c>
    </row>
    <row r="285" spans="1:44" ht="14.1" customHeight="1" x14ac:dyDescent="0.2">
      <c r="A285" s="499">
        <v>71</v>
      </c>
      <c r="B285" s="512">
        <v>2492</v>
      </c>
      <c r="C285" s="513">
        <v>600079767</v>
      </c>
      <c r="D285" s="512">
        <v>70983011</v>
      </c>
      <c r="E285" s="511" t="s">
        <v>738</v>
      </c>
      <c r="F285" s="499">
        <v>3231</v>
      </c>
      <c r="G285" s="514" t="s">
        <v>281</v>
      </c>
      <c r="H285" s="495" t="s">
        <v>262</v>
      </c>
      <c r="I285" s="627">
        <f t="shared" si="456"/>
        <v>3207324</v>
      </c>
      <c r="J285" s="14">
        <v>2379321</v>
      </c>
      <c r="K285" s="14">
        <v>804210</v>
      </c>
      <c r="L285" s="14">
        <v>23793</v>
      </c>
      <c r="M285" s="14">
        <v>0</v>
      </c>
      <c r="N285" s="682">
        <v>3.5739999999999998</v>
      </c>
      <c r="O285" s="696">
        <f t="shared" si="457"/>
        <v>0</v>
      </c>
      <c r="P285" s="492">
        <v>0</v>
      </c>
      <c r="Q285" s="492">
        <v>0</v>
      </c>
      <c r="R285" s="492">
        <v>0</v>
      </c>
      <c r="S285" s="492">
        <v>0</v>
      </c>
      <c r="T285" s="492">
        <v>0</v>
      </c>
      <c r="U285" s="492">
        <f>O285+P285+Q285+R285+S285+T285</f>
        <v>0</v>
      </c>
      <c r="V285" s="492">
        <v>0</v>
      </c>
      <c r="W285" s="492">
        <v>0</v>
      </c>
      <c r="X285" s="492">
        <v>0</v>
      </c>
      <c r="Y285" s="492">
        <f t="shared" si="476"/>
        <v>0</v>
      </c>
      <c r="Z285" s="492">
        <f t="shared" si="477"/>
        <v>0</v>
      </c>
      <c r="AA285" s="494">
        <f t="shared" si="478"/>
        <v>0</v>
      </c>
      <c r="AB285" s="494">
        <f t="shared" si="479"/>
        <v>0</v>
      </c>
      <c r="AC285" s="14">
        <v>0</v>
      </c>
      <c r="AD285" s="892">
        <f t="shared" si="463"/>
        <v>0</v>
      </c>
      <c r="AE285" s="702">
        <v>0</v>
      </c>
      <c r="AF285" s="702">
        <v>0</v>
      </c>
      <c r="AG285" s="491">
        <v>0</v>
      </c>
      <c r="AH285" s="491">
        <v>0</v>
      </c>
      <c r="AI285" s="491">
        <v>0</v>
      </c>
      <c r="AJ285" s="491">
        <v>0</v>
      </c>
      <c r="AK285" s="626">
        <f>SUM(AE285:AJ285)</f>
        <v>0</v>
      </c>
      <c r="AL285" s="696">
        <f>I285+AD285</f>
        <v>3207324</v>
      </c>
      <c r="AM285" s="492">
        <f>J285+U285</f>
        <v>2379321</v>
      </c>
      <c r="AN285" s="492">
        <f>Y285</f>
        <v>0</v>
      </c>
      <c r="AO285" s="492">
        <f t="shared" si="480"/>
        <v>804210</v>
      </c>
      <c r="AP285" s="492">
        <f t="shared" si="480"/>
        <v>23793</v>
      </c>
      <c r="AQ285" s="578">
        <f t="shared" si="480"/>
        <v>0</v>
      </c>
      <c r="AR285" s="626">
        <f>N285+AK285</f>
        <v>3.5739999999999998</v>
      </c>
    </row>
    <row r="286" spans="1:44" ht="14.1" customHeight="1" x14ac:dyDescent="0.2">
      <c r="A286" s="510">
        <v>71</v>
      </c>
      <c r="B286" s="508">
        <v>2492</v>
      </c>
      <c r="C286" s="509">
        <v>600079767</v>
      </c>
      <c r="D286" s="508">
        <v>70983011</v>
      </c>
      <c r="E286" s="506" t="s">
        <v>739</v>
      </c>
      <c r="F286" s="510"/>
      <c r="G286" s="506"/>
      <c r="H286" s="505"/>
      <c r="I286" s="629">
        <f t="shared" ref="I286:AR286" si="485">SUM(I281:I285)</f>
        <v>30615931</v>
      </c>
      <c r="J286" s="504">
        <f t="shared" si="485"/>
        <v>22712115</v>
      </c>
      <c r="K286" s="504">
        <f t="shared" si="485"/>
        <v>7676695</v>
      </c>
      <c r="L286" s="504">
        <f t="shared" si="485"/>
        <v>227121</v>
      </c>
      <c r="M286" s="504">
        <f t="shared" si="485"/>
        <v>0</v>
      </c>
      <c r="N286" s="885">
        <f t="shared" si="485"/>
        <v>33.255899999999997</v>
      </c>
      <c r="O286" s="629">
        <f t="shared" si="485"/>
        <v>0</v>
      </c>
      <c r="P286" s="503">
        <f t="shared" si="485"/>
        <v>1781712</v>
      </c>
      <c r="Q286" s="503">
        <f t="shared" si="485"/>
        <v>30580</v>
      </c>
      <c r="R286" s="503">
        <f t="shared" si="485"/>
        <v>0</v>
      </c>
      <c r="S286" s="503">
        <f t="shared" si="485"/>
        <v>0</v>
      </c>
      <c r="T286" s="503">
        <f t="shared" si="485"/>
        <v>0</v>
      </c>
      <c r="U286" s="503">
        <f t="shared" si="485"/>
        <v>1812292</v>
      </c>
      <c r="V286" s="503">
        <f t="shared" si="485"/>
        <v>0</v>
      </c>
      <c r="W286" s="503">
        <f t="shared" si="485"/>
        <v>0</v>
      </c>
      <c r="X286" s="503">
        <f t="shared" si="485"/>
        <v>0</v>
      </c>
      <c r="Y286" s="503">
        <f t="shared" si="485"/>
        <v>0</v>
      </c>
      <c r="Z286" s="503">
        <f t="shared" si="485"/>
        <v>1812292</v>
      </c>
      <c r="AA286" s="503">
        <f t="shared" si="485"/>
        <v>612555</v>
      </c>
      <c r="AB286" s="503">
        <f t="shared" si="485"/>
        <v>18123</v>
      </c>
      <c r="AC286" s="503">
        <f t="shared" si="485"/>
        <v>0</v>
      </c>
      <c r="AD286" s="891">
        <f t="shared" si="485"/>
        <v>2442970</v>
      </c>
      <c r="AE286" s="701">
        <f t="shared" si="485"/>
        <v>0</v>
      </c>
      <c r="AF286" s="701">
        <f t="shared" si="485"/>
        <v>4.34</v>
      </c>
      <c r="AG286" s="502">
        <f t="shared" si="485"/>
        <v>0</v>
      </c>
      <c r="AH286" s="502">
        <f t="shared" si="485"/>
        <v>0.05</v>
      </c>
      <c r="AI286" s="502">
        <f t="shared" si="485"/>
        <v>0</v>
      </c>
      <c r="AJ286" s="502">
        <f t="shared" si="485"/>
        <v>0</v>
      </c>
      <c r="AK286" s="630">
        <f t="shared" si="485"/>
        <v>4.3899999999999997</v>
      </c>
      <c r="AL286" s="629">
        <f t="shared" si="485"/>
        <v>33058901</v>
      </c>
      <c r="AM286" s="503">
        <f t="shared" si="485"/>
        <v>24524407</v>
      </c>
      <c r="AN286" s="552">
        <f t="shared" si="485"/>
        <v>0</v>
      </c>
      <c r="AO286" s="503">
        <f t="shared" si="485"/>
        <v>8289250</v>
      </c>
      <c r="AP286" s="503">
        <f t="shared" si="485"/>
        <v>245244</v>
      </c>
      <c r="AQ286" s="503">
        <f t="shared" si="485"/>
        <v>0</v>
      </c>
      <c r="AR286" s="630">
        <f t="shared" si="485"/>
        <v>37.645899999999997</v>
      </c>
    </row>
    <row r="287" spans="1:44" ht="14.1" customHeight="1" x14ac:dyDescent="0.2">
      <c r="A287" s="499">
        <v>72</v>
      </c>
      <c r="B287" s="512">
        <v>2491</v>
      </c>
      <c r="C287" s="513">
        <v>600079775</v>
      </c>
      <c r="D287" s="512">
        <v>70983003</v>
      </c>
      <c r="E287" s="511" t="s">
        <v>658</v>
      </c>
      <c r="F287" s="499">
        <v>3113</v>
      </c>
      <c r="G287" s="511" t="s">
        <v>280</v>
      </c>
      <c r="H287" s="495" t="s">
        <v>262</v>
      </c>
      <c r="I287" s="627">
        <f t="shared" si="456"/>
        <v>23612369</v>
      </c>
      <c r="J287" s="14">
        <v>17516594</v>
      </c>
      <c r="K287" s="14">
        <v>5920609</v>
      </c>
      <c r="L287" s="14">
        <v>175166</v>
      </c>
      <c r="M287" s="14">
        <v>0</v>
      </c>
      <c r="N287" s="121">
        <v>24.451499999999999</v>
      </c>
      <c r="O287" s="696">
        <f t="shared" si="457"/>
        <v>0</v>
      </c>
      <c r="P287" s="492">
        <v>0</v>
      </c>
      <c r="Q287" s="492">
        <v>0</v>
      </c>
      <c r="R287" s="492">
        <v>0</v>
      </c>
      <c r="S287" s="492">
        <v>0</v>
      </c>
      <c r="T287" s="492">
        <v>0</v>
      </c>
      <c r="U287" s="492">
        <f>O287+P287+Q287+R287+S287+T287</f>
        <v>0</v>
      </c>
      <c r="V287" s="492">
        <v>0</v>
      </c>
      <c r="W287" s="492">
        <v>0</v>
      </c>
      <c r="X287" s="492">
        <v>0</v>
      </c>
      <c r="Y287" s="492">
        <f t="shared" ref="Y287:Y290" si="486">V287+W287+X287</f>
        <v>0</v>
      </c>
      <c r="Z287" s="492">
        <f t="shared" ref="Z287:Z290" si="487">U287+Y287</f>
        <v>0</v>
      </c>
      <c r="AA287" s="494">
        <f t="shared" ref="AA287:AA290" si="488">ROUND((U287+Y287)*33.8%,0)</f>
        <v>0</v>
      </c>
      <c r="AB287" s="494">
        <f>ROUND(U287*1%,0)</f>
        <v>0</v>
      </c>
      <c r="AC287" s="14">
        <v>0</v>
      </c>
      <c r="AD287" s="892">
        <f t="shared" si="463"/>
        <v>0</v>
      </c>
      <c r="AE287" s="702">
        <v>0</v>
      </c>
      <c r="AF287" s="702">
        <v>0</v>
      </c>
      <c r="AG287" s="491">
        <v>0</v>
      </c>
      <c r="AH287" s="491">
        <v>0</v>
      </c>
      <c r="AI287" s="491">
        <v>0</v>
      </c>
      <c r="AJ287" s="491">
        <v>0</v>
      </c>
      <c r="AK287" s="626">
        <f>SUM(AE287:AJ287)</f>
        <v>0</v>
      </c>
      <c r="AL287" s="696">
        <f>I287+AD287</f>
        <v>23612369</v>
      </c>
      <c r="AM287" s="492">
        <f>J287+U287</f>
        <v>17516594</v>
      </c>
      <c r="AN287" s="492">
        <f>Y287</f>
        <v>0</v>
      </c>
      <c r="AO287" s="492">
        <f t="shared" ref="AO287:AQ290" si="489">K287+AA287</f>
        <v>5920609</v>
      </c>
      <c r="AP287" s="492">
        <f t="shared" si="489"/>
        <v>175166</v>
      </c>
      <c r="AQ287" s="578">
        <f t="shared" si="489"/>
        <v>0</v>
      </c>
      <c r="AR287" s="626">
        <f>N287+AK287</f>
        <v>24.451499999999999</v>
      </c>
    </row>
    <row r="288" spans="1:44" ht="14.1" customHeight="1" x14ac:dyDescent="0.2">
      <c r="A288" s="499">
        <v>72</v>
      </c>
      <c r="B288" s="512">
        <v>2491</v>
      </c>
      <c r="C288" s="513">
        <v>600079775</v>
      </c>
      <c r="D288" s="512">
        <v>70983003</v>
      </c>
      <c r="E288" s="511" t="s">
        <v>658</v>
      </c>
      <c r="F288" s="499">
        <v>3113</v>
      </c>
      <c r="G288" s="511" t="s">
        <v>799</v>
      </c>
      <c r="H288" s="495" t="s">
        <v>262</v>
      </c>
      <c r="I288" s="627">
        <f t="shared" si="456"/>
        <v>359665</v>
      </c>
      <c r="J288" s="14">
        <v>266814</v>
      </c>
      <c r="K288" s="14">
        <v>90183</v>
      </c>
      <c r="L288" s="14">
        <v>2668</v>
      </c>
      <c r="M288" s="14">
        <v>0</v>
      </c>
      <c r="N288" s="121">
        <v>0.5</v>
      </c>
      <c r="O288" s="696">
        <f t="shared" si="457"/>
        <v>0</v>
      </c>
      <c r="P288" s="492">
        <v>0</v>
      </c>
      <c r="Q288" s="492">
        <v>0</v>
      </c>
      <c r="R288" s="492">
        <v>0</v>
      </c>
      <c r="S288" s="492">
        <v>0</v>
      </c>
      <c r="T288" s="492">
        <v>0</v>
      </c>
      <c r="U288" s="492">
        <f>O288+P288+Q288+R288+S288+T288</f>
        <v>0</v>
      </c>
      <c r="V288" s="492">
        <v>0</v>
      </c>
      <c r="W288" s="492">
        <v>0</v>
      </c>
      <c r="X288" s="492">
        <v>0</v>
      </c>
      <c r="Y288" s="492">
        <f t="shared" ref="Y288" si="490">V288+W288+X288</f>
        <v>0</v>
      </c>
      <c r="Z288" s="492">
        <f t="shared" ref="Z288" si="491">U288+Y288</f>
        <v>0</v>
      </c>
      <c r="AA288" s="494">
        <f t="shared" ref="AA288" si="492">ROUND((U288+Y288)*33.8%,0)</f>
        <v>0</v>
      </c>
      <c r="AB288" s="494">
        <f>ROUND(U288*1%,0)</f>
        <v>0</v>
      </c>
      <c r="AC288" s="14">
        <v>0</v>
      </c>
      <c r="AD288" s="892">
        <f t="shared" si="463"/>
        <v>0</v>
      </c>
      <c r="AE288" s="702">
        <v>0</v>
      </c>
      <c r="AF288" s="702">
        <v>0</v>
      </c>
      <c r="AG288" s="491">
        <v>0</v>
      </c>
      <c r="AH288" s="491">
        <v>0</v>
      </c>
      <c r="AI288" s="491">
        <v>0</v>
      </c>
      <c r="AJ288" s="491">
        <v>0</v>
      </c>
      <c r="AK288" s="626">
        <f>SUM(AE288:AJ288)</f>
        <v>0</v>
      </c>
      <c r="AL288" s="696">
        <f>I288+AD288</f>
        <v>359665</v>
      </c>
      <c r="AM288" s="492">
        <f>J288+U288</f>
        <v>266814</v>
      </c>
      <c r="AN288" s="492">
        <f>Y288</f>
        <v>0</v>
      </c>
      <c r="AO288" s="492">
        <f t="shared" si="489"/>
        <v>90183</v>
      </c>
      <c r="AP288" s="492">
        <f t="shared" si="489"/>
        <v>2668</v>
      </c>
      <c r="AQ288" s="578">
        <f t="shared" si="489"/>
        <v>0</v>
      </c>
      <c r="AR288" s="626">
        <f>N288+AK288</f>
        <v>0.5</v>
      </c>
    </row>
    <row r="289" spans="1:44" ht="14.1" customHeight="1" x14ac:dyDescent="0.2">
      <c r="A289" s="499">
        <v>72</v>
      </c>
      <c r="B289" s="512">
        <v>2491</v>
      </c>
      <c r="C289" s="513">
        <v>600079775</v>
      </c>
      <c r="D289" s="512">
        <v>70983003</v>
      </c>
      <c r="E289" s="511" t="s">
        <v>658</v>
      </c>
      <c r="F289" s="499">
        <v>3113</v>
      </c>
      <c r="G289" s="514" t="s">
        <v>278</v>
      </c>
      <c r="H289" s="495" t="s">
        <v>263</v>
      </c>
      <c r="I289" s="627">
        <f t="shared" si="456"/>
        <v>0</v>
      </c>
      <c r="J289" s="490">
        <v>0</v>
      </c>
      <c r="K289" s="14">
        <v>0</v>
      </c>
      <c r="L289" s="14">
        <v>0</v>
      </c>
      <c r="M289" s="14">
        <v>0</v>
      </c>
      <c r="N289" s="682">
        <v>0</v>
      </c>
      <c r="O289" s="696">
        <f t="shared" si="457"/>
        <v>0</v>
      </c>
      <c r="P289" s="490">
        <f>2674017-13669</f>
        <v>2660348</v>
      </c>
      <c r="Q289" s="492">
        <v>0</v>
      </c>
      <c r="R289" s="492">
        <v>0</v>
      </c>
      <c r="S289" s="492">
        <v>0</v>
      </c>
      <c r="T289" s="492">
        <v>0</v>
      </c>
      <c r="U289" s="492">
        <f>O289+P289+Q289+R289+S289+T289</f>
        <v>2660348</v>
      </c>
      <c r="V289" s="492">
        <v>0</v>
      </c>
      <c r="W289" s="492">
        <v>0</v>
      </c>
      <c r="X289" s="492">
        <v>0</v>
      </c>
      <c r="Y289" s="492">
        <f t="shared" si="486"/>
        <v>0</v>
      </c>
      <c r="Z289" s="492">
        <f t="shared" si="487"/>
        <v>2660348</v>
      </c>
      <c r="AA289" s="494">
        <f t="shared" si="488"/>
        <v>899198</v>
      </c>
      <c r="AB289" s="494">
        <f>ROUND(U289*1%,0)</f>
        <v>26603</v>
      </c>
      <c r="AC289" s="14">
        <v>0</v>
      </c>
      <c r="AD289" s="892">
        <f t="shared" si="463"/>
        <v>3586149</v>
      </c>
      <c r="AE289" s="702">
        <v>0</v>
      </c>
      <c r="AF289" s="121">
        <f>6.44+0.19</f>
        <v>6.6300000000000008</v>
      </c>
      <c r="AG289" s="491">
        <v>0</v>
      </c>
      <c r="AH289" s="491">
        <v>0</v>
      </c>
      <c r="AI289" s="491">
        <v>0</v>
      </c>
      <c r="AJ289" s="491">
        <v>0</v>
      </c>
      <c r="AK289" s="626">
        <f>SUM(AE289:AJ289)</f>
        <v>6.6300000000000008</v>
      </c>
      <c r="AL289" s="696">
        <f>I289+AD289</f>
        <v>3586149</v>
      </c>
      <c r="AM289" s="492">
        <f>J289+U289</f>
        <v>2660348</v>
      </c>
      <c r="AN289" s="492">
        <f>Y289</f>
        <v>0</v>
      </c>
      <c r="AO289" s="492">
        <f t="shared" si="489"/>
        <v>899198</v>
      </c>
      <c r="AP289" s="492">
        <f t="shared" si="489"/>
        <v>26603</v>
      </c>
      <c r="AQ289" s="578">
        <f t="shared" si="489"/>
        <v>0</v>
      </c>
      <c r="AR289" s="626">
        <f>N289+AK289</f>
        <v>6.6300000000000008</v>
      </c>
    </row>
    <row r="290" spans="1:44" ht="14.1" customHeight="1" x14ac:dyDescent="0.2">
      <c r="A290" s="499">
        <v>72</v>
      </c>
      <c r="B290" s="512">
        <v>2491</v>
      </c>
      <c r="C290" s="513">
        <v>600079775</v>
      </c>
      <c r="D290" s="512">
        <v>70983003</v>
      </c>
      <c r="E290" s="511" t="s">
        <v>658</v>
      </c>
      <c r="F290" s="499">
        <v>3143</v>
      </c>
      <c r="G290" s="514" t="s">
        <v>794</v>
      </c>
      <c r="H290" s="495" t="s">
        <v>262</v>
      </c>
      <c r="I290" s="627">
        <f t="shared" si="456"/>
        <v>2537167</v>
      </c>
      <c r="J290" s="14">
        <v>1882171</v>
      </c>
      <c r="K290" s="14">
        <v>636174</v>
      </c>
      <c r="L290" s="14">
        <v>18822</v>
      </c>
      <c r="M290" s="14">
        <v>0</v>
      </c>
      <c r="N290" s="121">
        <v>3.5714000000000001</v>
      </c>
      <c r="O290" s="696">
        <f t="shared" si="457"/>
        <v>0</v>
      </c>
      <c r="P290" s="492">
        <v>0</v>
      </c>
      <c r="Q290" s="492">
        <v>0</v>
      </c>
      <c r="R290" s="492">
        <v>0</v>
      </c>
      <c r="S290" s="492">
        <v>0</v>
      </c>
      <c r="T290" s="492">
        <v>0</v>
      </c>
      <c r="U290" s="492">
        <f>O290+P290+Q290+R290+S290+T290</f>
        <v>0</v>
      </c>
      <c r="V290" s="492">
        <v>0</v>
      </c>
      <c r="W290" s="492">
        <v>0</v>
      </c>
      <c r="X290" s="492">
        <v>0</v>
      </c>
      <c r="Y290" s="492">
        <f t="shared" si="486"/>
        <v>0</v>
      </c>
      <c r="Z290" s="492">
        <f t="shared" si="487"/>
        <v>0</v>
      </c>
      <c r="AA290" s="494">
        <f t="shared" si="488"/>
        <v>0</v>
      </c>
      <c r="AB290" s="494">
        <f>ROUND(U290*1%,0)</f>
        <v>0</v>
      </c>
      <c r="AC290" s="14">
        <v>0</v>
      </c>
      <c r="AD290" s="892">
        <f t="shared" si="463"/>
        <v>0</v>
      </c>
      <c r="AE290" s="702">
        <v>0</v>
      </c>
      <c r="AF290" s="702">
        <v>0</v>
      </c>
      <c r="AG290" s="491">
        <v>0</v>
      </c>
      <c r="AH290" s="491">
        <v>0</v>
      </c>
      <c r="AI290" s="491">
        <v>0</v>
      </c>
      <c r="AJ290" s="491">
        <v>0</v>
      </c>
      <c r="AK290" s="626">
        <f>SUM(AE290:AJ290)</f>
        <v>0</v>
      </c>
      <c r="AL290" s="696">
        <f>I290+AD290</f>
        <v>2537167</v>
      </c>
      <c r="AM290" s="492">
        <f>J290+U290</f>
        <v>1882171</v>
      </c>
      <c r="AN290" s="492">
        <f>Y290</f>
        <v>0</v>
      </c>
      <c r="AO290" s="492">
        <f t="shared" si="489"/>
        <v>636174</v>
      </c>
      <c r="AP290" s="492">
        <f t="shared" si="489"/>
        <v>18822</v>
      </c>
      <c r="AQ290" s="578">
        <f t="shared" si="489"/>
        <v>0</v>
      </c>
      <c r="AR290" s="626">
        <f>N290+AK290</f>
        <v>3.5714000000000001</v>
      </c>
    </row>
    <row r="291" spans="1:44" ht="14.1" customHeight="1" x14ac:dyDescent="0.2">
      <c r="A291" s="510">
        <v>72</v>
      </c>
      <c r="B291" s="508">
        <v>2491</v>
      </c>
      <c r="C291" s="509">
        <v>600079775</v>
      </c>
      <c r="D291" s="508">
        <v>70983003</v>
      </c>
      <c r="E291" s="506" t="s">
        <v>659</v>
      </c>
      <c r="F291" s="510"/>
      <c r="G291" s="506"/>
      <c r="H291" s="505"/>
      <c r="I291" s="629">
        <f t="shared" ref="I291:AR291" si="493">SUM(I287:I290)</f>
        <v>26509201</v>
      </c>
      <c r="J291" s="504">
        <f t="shared" si="493"/>
        <v>19665579</v>
      </c>
      <c r="K291" s="504">
        <f t="shared" si="493"/>
        <v>6646966</v>
      </c>
      <c r="L291" s="504">
        <f t="shared" si="493"/>
        <v>196656</v>
      </c>
      <c r="M291" s="504">
        <f t="shared" si="493"/>
        <v>0</v>
      </c>
      <c r="N291" s="885">
        <f t="shared" si="493"/>
        <v>28.5229</v>
      </c>
      <c r="O291" s="629">
        <f t="shared" si="493"/>
        <v>0</v>
      </c>
      <c r="P291" s="503">
        <f t="shared" si="493"/>
        <v>2660348</v>
      </c>
      <c r="Q291" s="503">
        <f t="shared" si="493"/>
        <v>0</v>
      </c>
      <c r="R291" s="503">
        <f t="shared" si="493"/>
        <v>0</v>
      </c>
      <c r="S291" s="503">
        <f t="shared" si="493"/>
        <v>0</v>
      </c>
      <c r="T291" s="503">
        <f t="shared" si="493"/>
        <v>0</v>
      </c>
      <c r="U291" s="503">
        <f t="shared" si="493"/>
        <v>2660348</v>
      </c>
      <c r="V291" s="503">
        <f t="shared" si="493"/>
        <v>0</v>
      </c>
      <c r="W291" s="503">
        <f t="shared" si="493"/>
        <v>0</v>
      </c>
      <c r="X291" s="503">
        <f t="shared" si="493"/>
        <v>0</v>
      </c>
      <c r="Y291" s="503">
        <f t="shared" si="493"/>
        <v>0</v>
      </c>
      <c r="Z291" s="503">
        <f t="shared" si="493"/>
        <v>2660348</v>
      </c>
      <c r="AA291" s="503">
        <f t="shared" si="493"/>
        <v>899198</v>
      </c>
      <c r="AB291" s="503">
        <f t="shared" si="493"/>
        <v>26603</v>
      </c>
      <c r="AC291" s="503">
        <f t="shared" si="493"/>
        <v>0</v>
      </c>
      <c r="AD291" s="891">
        <f t="shared" si="493"/>
        <v>3586149</v>
      </c>
      <c r="AE291" s="701">
        <f t="shared" si="493"/>
        <v>0</v>
      </c>
      <c r="AF291" s="701">
        <f t="shared" si="493"/>
        <v>6.6300000000000008</v>
      </c>
      <c r="AG291" s="502">
        <f t="shared" si="493"/>
        <v>0</v>
      </c>
      <c r="AH291" s="502">
        <f t="shared" si="493"/>
        <v>0</v>
      </c>
      <c r="AI291" s="502">
        <f t="shared" si="493"/>
        <v>0</v>
      </c>
      <c r="AJ291" s="502">
        <f t="shared" si="493"/>
        <v>0</v>
      </c>
      <c r="AK291" s="630">
        <f t="shared" si="493"/>
        <v>6.6300000000000008</v>
      </c>
      <c r="AL291" s="629">
        <f t="shared" si="493"/>
        <v>30095350</v>
      </c>
      <c r="AM291" s="503">
        <f t="shared" si="493"/>
        <v>22325927</v>
      </c>
      <c r="AN291" s="552">
        <f t="shared" si="493"/>
        <v>0</v>
      </c>
      <c r="AO291" s="503">
        <f t="shared" si="493"/>
        <v>7546164</v>
      </c>
      <c r="AP291" s="503">
        <f t="shared" si="493"/>
        <v>223259</v>
      </c>
      <c r="AQ291" s="503">
        <f t="shared" si="493"/>
        <v>0</v>
      </c>
      <c r="AR291" s="630">
        <f t="shared" si="493"/>
        <v>35.152899999999995</v>
      </c>
    </row>
    <row r="292" spans="1:44" ht="14.1" customHeight="1" x14ac:dyDescent="0.2">
      <c r="A292" s="499">
        <v>73</v>
      </c>
      <c r="B292" s="512">
        <v>2459</v>
      </c>
      <c r="C292" s="513">
        <v>650030583</v>
      </c>
      <c r="D292" s="512">
        <v>72744707</v>
      </c>
      <c r="E292" s="511" t="s">
        <v>660</v>
      </c>
      <c r="F292" s="499">
        <v>3111</v>
      </c>
      <c r="G292" s="511" t="s">
        <v>277</v>
      </c>
      <c r="H292" s="495" t="s">
        <v>262</v>
      </c>
      <c r="I292" s="627">
        <f t="shared" si="456"/>
        <v>3303976</v>
      </c>
      <c r="J292" s="14">
        <v>2451021</v>
      </c>
      <c r="K292" s="14">
        <v>828445</v>
      </c>
      <c r="L292" s="14">
        <v>24510</v>
      </c>
      <c r="M292" s="14">
        <v>0</v>
      </c>
      <c r="N292" s="121">
        <v>4</v>
      </c>
      <c r="O292" s="696">
        <f t="shared" si="457"/>
        <v>0</v>
      </c>
      <c r="P292" s="492">
        <v>0</v>
      </c>
      <c r="Q292" s="492">
        <v>0</v>
      </c>
      <c r="R292" s="492">
        <v>0</v>
      </c>
      <c r="S292" s="492">
        <v>0</v>
      </c>
      <c r="T292" s="492">
        <v>0</v>
      </c>
      <c r="U292" s="492">
        <f>O292+P292+Q292+R292+S292+T292</f>
        <v>0</v>
      </c>
      <c r="V292" s="492">
        <v>0</v>
      </c>
      <c r="W292" s="492">
        <v>0</v>
      </c>
      <c r="X292" s="492">
        <v>0</v>
      </c>
      <c r="Y292" s="492">
        <f t="shared" ref="Y292:Y295" si="494">V292+W292+X292</f>
        <v>0</v>
      </c>
      <c r="Z292" s="492">
        <f t="shared" ref="Z292:Z295" si="495">U292+Y292</f>
        <v>0</v>
      </c>
      <c r="AA292" s="494">
        <f t="shared" ref="AA292:AA295" si="496">ROUND((U292+Y292)*33.8%,0)</f>
        <v>0</v>
      </c>
      <c r="AB292" s="494">
        <f t="shared" ref="AB292:AB295" si="497">ROUND(U292*1%,0)</f>
        <v>0</v>
      </c>
      <c r="AC292" s="14">
        <v>0</v>
      </c>
      <c r="AD292" s="892">
        <f t="shared" si="463"/>
        <v>0</v>
      </c>
      <c r="AE292" s="702">
        <v>0</v>
      </c>
      <c r="AF292" s="702">
        <v>0</v>
      </c>
      <c r="AG292" s="491">
        <v>0</v>
      </c>
      <c r="AH292" s="491">
        <v>0</v>
      </c>
      <c r="AI292" s="491">
        <v>0</v>
      </c>
      <c r="AJ292" s="491">
        <v>0</v>
      </c>
      <c r="AK292" s="626">
        <f>SUM(AE292:AJ292)</f>
        <v>0</v>
      </c>
      <c r="AL292" s="696">
        <f>I292+AD292</f>
        <v>3303976</v>
      </c>
      <c r="AM292" s="492">
        <f>J292+U292</f>
        <v>2451021</v>
      </c>
      <c r="AN292" s="492">
        <f>Y292</f>
        <v>0</v>
      </c>
      <c r="AO292" s="492">
        <f t="shared" ref="AO292:AQ295" si="498">K292+AA292</f>
        <v>828445</v>
      </c>
      <c r="AP292" s="492">
        <f t="shared" si="498"/>
        <v>24510</v>
      </c>
      <c r="AQ292" s="578">
        <f t="shared" si="498"/>
        <v>0</v>
      </c>
      <c r="AR292" s="626">
        <f>N292+AK292</f>
        <v>4</v>
      </c>
    </row>
    <row r="293" spans="1:44" ht="14.1" customHeight="1" x14ac:dyDescent="0.2">
      <c r="A293" s="499">
        <v>73</v>
      </c>
      <c r="B293" s="512">
        <v>2459</v>
      </c>
      <c r="C293" s="513">
        <v>650030583</v>
      </c>
      <c r="D293" s="512">
        <v>72744707</v>
      </c>
      <c r="E293" s="511" t="s">
        <v>660</v>
      </c>
      <c r="F293" s="499">
        <v>3117</v>
      </c>
      <c r="G293" s="511" t="s">
        <v>280</v>
      </c>
      <c r="H293" s="495" t="s">
        <v>262</v>
      </c>
      <c r="I293" s="627">
        <f t="shared" si="456"/>
        <v>4941306</v>
      </c>
      <c r="J293" s="14">
        <v>3665657</v>
      </c>
      <c r="K293" s="14">
        <v>1238992</v>
      </c>
      <c r="L293" s="14">
        <v>36657</v>
      </c>
      <c r="M293" s="14">
        <v>0</v>
      </c>
      <c r="N293" s="121">
        <v>5</v>
      </c>
      <c r="O293" s="696">
        <f t="shared" si="457"/>
        <v>0</v>
      </c>
      <c r="P293" s="492">
        <v>0</v>
      </c>
      <c r="Q293" s="492">
        <v>0</v>
      </c>
      <c r="R293" s="492">
        <v>0</v>
      </c>
      <c r="S293" s="492">
        <v>0</v>
      </c>
      <c r="T293" s="492">
        <v>0</v>
      </c>
      <c r="U293" s="492">
        <f>O293+P293+Q293+R293+S293+T293</f>
        <v>0</v>
      </c>
      <c r="V293" s="492">
        <v>0</v>
      </c>
      <c r="W293" s="492">
        <v>0</v>
      </c>
      <c r="X293" s="492">
        <v>0</v>
      </c>
      <c r="Y293" s="492">
        <f t="shared" si="494"/>
        <v>0</v>
      </c>
      <c r="Z293" s="492">
        <f t="shared" si="495"/>
        <v>0</v>
      </c>
      <c r="AA293" s="494">
        <f t="shared" si="496"/>
        <v>0</v>
      </c>
      <c r="AB293" s="494">
        <f t="shared" si="497"/>
        <v>0</v>
      </c>
      <c r="AC293" s="14">
        <v>0</v>
      </c>
      <c r="AD293" s="892">
        <f t="shared" si="463"/>
        <v>0</v>
      </c>
      <c r="AE293" s="702">
        <v>0</v>
      </c>
      <c r="AF293" s="702">
        <v>0</v>
      </c>
      <c r="AG293" s="491">
        <v>0</v>
      </c>
      <c r="AH293" s="491">
        <v>0</v>
      </c>
      <c r="AI293" s="491">
        <v>0</v>
      </c>
      <c r="AJ293" s="491">
        <v>0</v>
      </c>
      <c r="AK293" s="626">
        <f>SUM(AE293:AJ293)</f>
        <v>0</v>
      </c>
      <c r="AL293" s="696">
        <f>I293+AD293</f>
        <v>4941306</v>
      </c>
      <c r="AM293" s="492">
        <f>J293+U293</f>
        <v>3665657</v>
      </c>
      <c r="AN293" s="492">
        <f>Y293</f>
        <v>0</v>
      </c>
      <c r="AO293" s="492">
        <f t="shared" si="498"/>
        <v>1238992</v>
      </c>
      <c r="AP293" s="492">
        <f t="shared" si="498"/>
        <v>36657</v>
      </c>
      <c r="AQ293" s="578">
        <f t="shared" si="498"/>
        <v>0</v>
      </c>
      <c r="AR293" s="626">
        <f>N293+AK293</f>
        <v>5</v>
      </c>
    </row>
    <row r="294" spans="1:44" ht="14.1" customHeight="1" x14ac:dyDescent="0.2">
      <c r="A294" s="499">
        <v>73</v>
      </c>
      <c r="B294" s="512">
        <v>2459</v>
      </c>
      <c r="C294" s="513">
        <v>650030583</v>
      </c>
      <c r="D294" s="512">
        <v>72744707</v>
      </c>
      <c r="E294" s="511" t="s">
        <v>660</v>
      </c>
      <c r="F294" s="499">
        <v>3117</v>
      </c>
      <c r="G294" s="514" t="s">
        <v>278</v>
      </c>
      <c r="H294" s="495" t="s">
        <v>263</v>
      </c>
      <c r="I294" s="627">
        <f t="shared" si="456"/>
        <v>0</v>
      </c>
      <c r="J294" s="490">
        <v>0</v>
      </c>
      <c r="K294" s="14">
        <v>0</v>
      </c>
      <c r="L294" s="14">
        <v>0</v>
      </c>
      <c r="M294" s="14">
        <v>0</v>
      </c>
      <c r="N294" s="682">
        <v>0</v>
      </c>
      <c r="O294" s="696">
        <f t="shared" si="457"/>
        <v>0</v>
      </c>
      <c r="P294" s="490">
        <v>602020</v>
      </c>
      <c r="Q294" s="492">
        <v>0</v>
      </c>
      <c r="R294" s="492">
        <v>0</v>
      </c>
      <c r="S294" s="492">
        <v>0</v>
      </c>
      <c r="T294" s="492">
        <v>0</v>
      </c>
      <c r="U294" s="492">
        <f>O294+P294+Q294+R294+S294+T294</f>
        <v>602020</v>
      </c>
      <c r="V294" s="492">
        <v>0</v>
      </c>
      <c r="W294" s="492">
        <v>0</v>
      </c>
      <c r="X294" s="492">
        <v>0</v>
      </c>
      <c r="Y294" s="492">
        <f t="shared" si="494"/>
        <v>0</v>
      </c>
      <c r="Z294" s="492">
        <f t="shared" si="495"/>
        <v>602020</v>
      </c>
      <c r="AA294" s="494">
        <f t="shared" si="496"/>
        <v>203483</v>
      </c>
      <c r="AB294" s="494">
        <f t="shared" si="497"/>
        <v>6020</v>
      </c>
      <c r="AC294" s="14">
        <v>0</v>
      </c>
      <c r="AD294" s="892">
        <f t="shared" si="463"/>
        <v>811523</v>
      </c>
      <c r="AE294" s="702">
        <v>0</v>
      </c>
      <c r="AF294" s="121">
        <v>1.45</v>
      </c>
      <c r="AG294" s="491">
        <v>0</v>
      </c>
      <c r="AH294" s="491">
        <v>0</v>
      </c>
      <c r="AI294" s="491">
        <v>0</v>
      </c>
      <c r="AJ294" s="491">
        <v>0</v>
      </c>
      <c r="AK294" s="626">
        <f>SUM(AE294:AJ294)</f>
        <v>1.45</v>
      </c>
      <c r="AL294" s="696">
        <f>I294+AD294</f>
        <v>811523</v>
      </c>
      <c r="AM294" s="492">
        <f>J294+U294</f>
        <v>602020</v>
      </c>
      <c r="AN294" s="492">
        <f>Y294</f>
        <v>0</v>
      </c>
      <c r="AO294" s="492">
        <f t="shared" si="498"/>
        <v>203483</v>
      </c>
      <c r="AP294" s="492">
        <f t="shared" si="498"/>
        <v>6020</v>
      </c>
      <c r="AQ294" s="578">
        <f t="shared" si="498"/>
        <v>0</v>
      </c>
      <c r="AR294" s="626">
        <f>N294+AK294</f>
        <v>1.45</v>
      </c>
    </row>
    <row r="295" spans="1:44" ht="14.1" customHeight="1" x14ac:dyDescent="0.2">
      <c r="A295" s="499">
        <v>73</v>
      </c>
      <c r="B295" s="512">
        <v>2459</v>
      </c>
      <c r="C295" s="513">
        <v>650030583</v>
      </c>
      <c r="D295" s="512">
        <v>72744707</v>
      </c>
      <c r="E295" s="511" t="s">
        <v>660</v>
      </c>
      <c r="F295" s="499">
        <v>3143</v>
      </c>
      <c r="G295" s="514" t="s">
        <v>794</v>
      </c>
      <c r="H295" s="495" t="s">
        <v>262</v>
      </c>
      <c r="I295" s="627">
        <f t="shared" si="456"/>
        <v>491860</v>
      </c>
      <c r="J295" s="14">
        <v>364881</v>
      </c>
      <c r="K295" s="14">
        <v>123330</v>
      </c>
      <c r="L295" s="14">
        <v>3649</v>
      </c>
      <c r="M295" s="14">
        <v>0</v>
      </c>
      <c r="N295" s="121">
        <v>0.6875</v>
      </c>
      <c r="O295" s="696">
        <f t="shared" si="457"/>
        <v>0</v>
      </c>
      <c r="P295" s="492">
        <v>0</v>
      </c>
      <c r="Q295" s="492">
        <v>0</v>
      </c>
      <c r="R295" s="492">
        <v>0</v>
      </c>
      <c r="S295" s="492">
        <v>0</v>
      </c>
      <c r="T295" s="492">
        <v>0</v>
      </c>
      <c r="U295" s="492">
        <f>O295+P295+Q295+R295+S295+T295</f>
        <v>0</v>
      </c>
      <c r="V295" s="492">
        <v>0</v>
      </c>
      <c r="W295" s="492">
        <v>0</v>
      </c>
      <c r="X295" s="492">
        <v>0</v>
      </c>
      <c r="Y295" s="492">
        <f t="shared" si="494"/>
        <v>0</v>
      </c>
      <c r="Z295" s="492">
        <f t="shared" si="495"/>
        <v>0</v>
      </c>
      <c r="AA295" s="494">
        <f t="shared" si="496"/>
        <v>0</v>
      </c>
      <c r="AB295" s="494">
        <f t="shared" si="497"/>
        <v>0</v>
      </c>
      <c r="AC295" s="14">
        <v>0</v>
      </c>
      <c r="AD295" s="892">
        <f t="shared" si="463"/>
        <v>0</v>
      </c>
      <c r="AE295" s="702">
        <v>0</v>
      </c>
      <c r="AF295" s="702">
        <v>0</v>
      </c>
      <c r="AG295" s="491">
        <v>0</v>
      </c>
      <c r="AH295" s="491">
        <v>0</v>
      </c>
      <c r="AI295" s="491">
        <v>0</v>
      </c>
      <c r="AJ295" s="491">
        <v>0</v>
      </c>
      <c r="AK295" s="626">
        <f>SUM(AE295:AJ295)</f>
        <v>0</v>
      </c>
      <c r="AL295" s="696">
        <f>I295+AD295</f>
        <v>491860</v>
      </c>
      <c r="AM295" s="492">
        <f>J295+U295</f>
        <v>364881</v>
      </c>
      <c r="AN295" s="492">
        <f>Y295</f>
        <v>0</v>
      </c>
      <c r="AO295" s="492">
        <f t="shared" si="498"/>
        <v>123330</v>
      </c>
      <c r="AP295" s="492">
        <f t="shared" si="498"/>
        <v>3649</v>
      </c>
      <c r="AQ295" s="578">
        <f t="shared" si="498"/>
        <v>0</v>
      </c>
      <c r="AR295" s="626">
        <f>N295+AK295</f>
        <v>0.6875</v>
      </c>
    </row>
    <row r="296" spans="1:44" ht="14.1" customHeight="1" x14ac:dyDescent="0.2">
      <c r="A296" s="510">
        <v>73</v>
      </c>
      <c r="B296" s="508">
        <v>2459</v>
      </c>
      <c r="C296" s="509">
        <v>650030583</v>
      </c>
      <c r="D296" s="508">
        <v>72744707</v>
      </c>
      <c r="E296" s="506" t="s">
        <v>661</v>
      </c>
      <c r="F296" s="510"/>
      <c r="G296" s="506"/>
      <c r="H296" s="505"/>
      <c r="I296" s="629">
        <f t="shared" ref="I296:AR296" si="499">SUM(I292:I295)</f>
        <v>8737142</v>
      </c>
      <c r="J296" s="504">
        <f t="shared" si="499"/>
        <v>6481559</v>
      </c>
      <c r="K296" s="504">
        <f t="shared" si="499"/>
        <v>2190767</v>
      </c>
      <c r="L296" s="504">
        <f t="shared" si="499"/>
        <v>64816</v>
      </c>
      <c r="M296" s="504">
        <f t="shared" si="499"/>
        <v>0</v>
      </c>
      <c r="N296" s="885">
        <f t="shared" si="499"/>
        <v>9.6875</v>
      </c>
      <c r="O296" s="629">
        <f t="shared" si="499"/>
        <v>0</v>
      </c>
      <c r="P296" s="503">
        <f t="shared" si="499"/>
        <v>602020</v>
      </c>
      <c r="Q296" s="503">
        <f t="shared" si="499"/>
        <v>0</v>
      </c>
      <c r="R296" s="503">
        <f t="shared" si="499"/>
        <v>0</v>
      </c>
      <c r="S296" s="503">
        <f t="shared" si="499"/>
        <v>0</v>
      </c>
      <c r="T296" s="503">
        <f t="shared" si="499"/>
        <v>0</v>
      </c>
      <c r="U296" s="503">
        <f t="shared" si="499"/>
        <v>602020</v>
      </c>
      <c r="V296" s="503">
        <f t="shared" si="499"/>
        <v>0</v>
      </c>
      <c r="W296" s="503">
        <f t="shared" si="499"/>
        <v>0</v>
      </c>
      <c r="X296" s="503">
        <f t="shared" si="499"/>
        <v>0</v>
      </c>
      <c r="Y296" s="503">
        <f t="shared" si="499"/>
        <v>0</v>
      </c>
      <c r="Z296" s="503">
        <f t="shared" si="499"/>
        <v>602020</v>
      </c>
      <c r="AA296" s="503">
        <f t="shared" si="499"/>
        <v>203483</v>
      </c>
      <c r="AB296" s="503">
        <f t="shared" si="499"/>
        <v>6020</v>
      </c>
      <c r="AC296" s="503">
        <f t="shared" si="499"/>
        <v>0</v>
      </c>
      <c r="AD296" s="891">
        <f t="shared" si="499"/>
        <v>811523</v>
      </c>
      <c r="AE296" s="701">
        <f t="shared" si="499"/>
        <v>0</v>
      </c>
      <c r="AF296" s="701">
        <f t="shared" si="499"/>
        <v>1.45</v>
      </c>
      <c r="AG296" s="502">
        <f t="shared" si="499"/>
        <v>0</v>
      </c>
      <c r="AH296" s="502">
        <f t="shared" si="499"/>
        <v>0</v>
      </c>
      <c r="AI296" s="502">
        <f t="shared" si="499"/>
        <v>0</v>
      </c>
      <c r="AJ296" s="502">
        <f t="shared" si="499"/>
        <v>0</v>
      </c>
      <c r="AK296" s="630">
        <f t="shared" si="499"/>
        <v>1.45</v>
      </c>
      <c r="AL296" s="629">
        <f t="shared" si="499"/>
        <v>9548665</v>
      </c>
      <c r="AM296" s="503">
        <f t="shared" si="499"/>
        <v>7083579</v>
      </c>
      <c r="AN296" s="552">
        <f t="shared" si="499"/>
        <v>0</v>
      </c>
      <c r="AO296" s="503">
        <f t="shared" si="499"/>
        <v>2394250</v>
      </c>
      <c r="AP296" s="503">
        <f t="shared" si="499"/>
        <v>70836</v>
      </c>
      <c r="AQ296" s="503">
        <f t="shared" si="499"/>
        <v>0</v>
      </c>
      <c r="AR296" s="630">
        <f t="shared" si="499"/>
        <v>11.137499999999999</v>
      </c>
    </row>
    <row r="297" spans="1:44" ht="14.1" customHeight="1" x14ac:dyDescent="0.2">
      <c r="A297" s="499">
        <v>74</v>
      </c>
      <c r="B297" s="512">
        <v>2405</v>
      </c>
      <c r="C297" s="513">
        <v>600079023</v>
      </c>
      <c r="D297" s="512">
        <v>72741881</v>
      </c>
      <c r="E297" s="511" t="s">
        <v>662</v>
      </c>
      <c r="F297" s="499">
        <v>3111</v>
      </c>
      <c r="G297" s="511" t="s">
        <v>277</v>
      </c>
      <c r="H297" s="495" t="s">
        <v>262</v>
      </c>
      <c r="I297" s="627">
        <f t="shared" si="456"/>
        <v>13477863</v>
      </c>
      <c r="J297" s="14">
        <v>9998415</v>
      </c>
      <c r="K297" s="14">
        <v>3379464</v>
      </c>
      <c r="L297" s="14">
        <v>99984</v>
      </c>
      <c r="M297" s="14">
        <v>0</v>
      </c>
      <c r="N297" s="121">
        <v>16.433499999999999</v>
      </c>
      <c r="O297" s="696">
        <f t="shared" si="457"/>
        <v>0</v>
      </c>
      <c r="P297" s="492">
        <v>0</v>
      </c>
      <c r="Q297" s="492">
        <v>0</v>
      </c>
      <c r="R297" s="492">
        <v>0</v>
      </c>
      <c r="S297" s="492">
        <v>0</v>
      </c>
      <c r="T297" s="492">
        <v>0</v>
      </c>
      <c r="U297" s="492">
        <f>O297+P297+Q297+R297+S297+T297</f>
        <v>0</v>
      </c>
      <c r="V297" s="492">
        <v>0</v>
      </c>
      <c r="W297" s="492">
        <v>0</v>
      </c>
      <c r="X297" s="492">
        <v>0</v>
      </c>
      <c r="Y297" s="492">
        <f t="shared" ref="Y297:Y298" si="500">V297+W297+X297</f>
        <v>0</v>
      </c>
      <c r="Z297" s="492">
        <f t="shared" ref="Z297:Z298" si="501">U297+Y297</f>
        <v>0</v>
      </c>
      <c r="AA297" s="494">
        <f t="shared" ref="AA297:AA298" si="502">ROUND((U297+Y297)*33.8%,0)</f>
        <v>0</v>
      </c>
      <c r="AB297" s="494">
        <f>ROUND(U297*1%,0)</f>
        <v>0</v>
      </c>
      <c r="AC297" s="14">
        <v>0</v>
      </c>
      <c r="AD297" s="892">
        <f t="shared" si="463"/>
        <v>0</v>
      </c>
      <c r="AE297" s="702">
        <v>0</v>
      </c>
      <c r="AF297" s="702">
        <v>0</v>
      </c>
      <c r="AG297" s="491">
        <v>0</v>
      </c>
      <c r="AH297" s="491">
        <v>0</v>
      </c>
      <c r="AI297" s="491">
        <v>0</v>
      </c>
      <c r="AJ297" s="491">
        <v>0</v>
      </c>
      <c r="AK297" s="626">
        <f>SUM(AE297:AJ297)</f>
        <v>0</v>
      </c>
      <c r="AL297" s="696">
        <f>I297+AD297</f>
        <v>13477863</v>
      </c>
      <c r="AM297" s="492">
        <f>J297+U297</f>
        <v>9998415</v>
      </c>
      <c r="AN297" s="492">
        <f>Y297</f>
        <v>0</v>
      </c>
      <c r="AO297" s="492">
        <f t="shared" ref="AO297:AQ298" si="503">K297+AA297</f>
        <v>3379464</v>
      </c>
      <c r="AP297" s="492">
        <f t="shared" si="503"/>
        <v>99984</v>
      </c>
      <c r="AQ297" s="578">
        <f t="shared" si="503"/>
        <v>0</v>
      </c>
      <c r="AR297" s="626">
        <f>N297+AK297</f>
        <v>16.433499999999999</v>
      </c>
    </row>
    <row r="298" spans="1:44" ht="14.1" customHeight="1" x14ac:dyDescent="0.2">
      <c r="A298" s="499">
        <v>74</v>
      </c>
      <c r="B298" s="512">
        <v>2405</v>
      </c>
      <c r="C298" s="513">
        <v>600079023</v>
      </c>
      <c r="D298" s="512">
        <v>72741881</v>
      </c>
      <c r="E298" s="511" t="s">
        <v>662</v>
      </c>
      <c r="F298" s="499">
        <v>3111</v>
      </c>
      <c r="G298" s="514" t="s">
        <v>278</v>
      </c>
      <c r="H298" s="495" t="s">
        <v>263</v>
      </c>
      <c r="I298" s="627">
        <f t="shared" si="456"/>
        <v>0</v>
      </c>
      <c r="J298" s="490">
        <v>0</v>
      </c>
      <c r="K298" s="14">
        <v>0</v>
      </c>
      <c r="L298" s="14">
        <v>0</v>
      </c>
      <c r="M298" s="14">
        <v>0</v>
      </c>
      <c r="N298" s="682">
        <v>0</v>
      </c>
      <c r="O298" s="696">
        <f t="shared" si="457"/>
        <v>0</v>
      </c>
      <c r="P298" s="490">
        <v>903939</v>
      </c>
      <c r="Q298" s="492">
        <v>0</v>
      </c>
      <c r="R298" s="492">
        <v>0</v>
      </c>
      <c r="S298" s="492">
        <v>0</v>
      </c>
      <c r="T298" s="492">
        <v>0</v>
      </c>
      <c r="U298" s="492">
        <f>O298+P298+Q298+R298+S298+T298</f>
        <v>903939</v>
      </c>
      <c r="V298" s="492">
        <v>0</v>
      </c>
      <c r="W298" s="492">
        <v>0</v>
      </c>
      <c r="X298" s="492">
        <v>0</v>
      </c>
      <c r="Y298" s="492">
        <f t="shared" si="500"/>
        <v>0</v>
      </c>
      <c r="Z298" s="492">
        <f t="shared" si="501"/>
        <v>903939</v>
      </c>
      <c r="AA298" s="494">
        <f t="shared" si="502"/>
        <v>305531</v>
      </c>
      <c r="AB298" s="494">
        <f>ROUND(U298*1%,0)</f>
        <v>9039</v>
      </c>
      <c r="AC298" s="14">
        <v>0</v>
      </c>
      <c r="AD298" s="892">
        <f t="shared" si="463"/>
        <v>1218509</v>
      </c>
      <c r="AE298" s="702">
        <v>0</v>
      </c>
      <c r="AF298" s="121">
        <v>2.2800000000000002</v>
      </c>
      <c r="AG298" s="491">
        <v>0</v>
      </c>
      <c r="AH298" s="491">
        <v>0</v>
      </c>
      <c r="AI298" s="491">
        <v>0</v>
      </c>
      <c r="AJ298" s="491">
        <v>0</v>
      </c>
      <c r="AK298" s="626">
        <f>SUM(AE298:AJ298)</f>
        <v>2.2800000000000002</v>
      </c>
      <c r="AL298" s="696">
        <f>I298+AD298</f>
        <v>1218509</v>
      </c>
      <c r="AM298" s="492">
        <f>J298+U298</f>
        <v>903939</v>
      </c>
      <c r="AN298" s="492">
        <f>Y298</f>
        <v>0</v>
      </c>
      <c r="AO298" s="492">
        <f t="shared" si="503"/>
        <v>305531</v>
      </c>
      <c r="AP298" s="492">
        <f t="shared" si="503"/>
        <v>9039</v>
      </c>
      <c r="AQ298" s="578">
        <f t="shared" si="503"/>
        <v>0</v>
      </c>
      <c r="AR298" s="626">
        <f>N298+AK298</f>
        <v>2.2800000000000002</v>
      </c>
    </row>
    <row r="299" spans="1:44" ht="14.1" customHeight="1" x14ac:dyDescent="0.2">
      <c r="A299" s="510">
        <v>74</v>
      </c>
      <c r="B299" s="508">
        <v>2405</v>
      </c>
      <c r="C299" s="509">
        <v>600079023</v>
      </c>
      <c r="D299" s="508">
        <v>72741881</v>
      </c>
      <c r="E299" s="506" t="s">
        <v>663</v>
      </c>
      <c r="F299" s="510"/>
      <c r="G299" s="506"/>
      <c r="H299" s="505"/>
      <c r="I299" s="629">
        <f t="shared" ref="I299:N299" si="504">SUM(I297:I298)</f>
        <v>13477863</v>
      </c>
      <c r="J299" s="504">
        <f t="shared" si="504"/>
        <v>9998415</v>
      </c>
      <c r="K299" s="504">
        <f t="shared" si="504"/>
        <v>3379464</v>
      </c>
      <c r="L299" s="504">
        <f t="shared" si="504"/>
        <v>99984</v>
      </c>
      <c r="M299" s="504">
        <f t="shared" si="504"/>
        <v>0</v>
      </c>
      <c r="N299" s="885">
        <f t="shared" si="504"/>
        <v>16.433499999999999</v>
      </c>
      <c r="O299" s="629">
        <f t="shared" ref="O299:AR299" si="505">SUM(O297:O298)</f>
        <v>0</v>
      </c>
      <c r="P299" s="503">
        <f t="shared" si="505"/>
        <v>903939</v>
      </c>
      <c r="Q299" s="503">
        <f t="shared" si="505"/>
        <v>0</v>
      </c>
      <c r="R299" s="503">
        <f t="shared" si="505"/>
        <v>0</v>
      </c>
      <c r="S299" s="503">
        <f t="shared" si="505"/>
        <v>0</v>
      </c>
      <c r="T299" s="503">
        <f t="shared" si="505"/>
        <v>0</v>
      </c>
      <c r="U299" s="503">
        <f t="shared" si="505"/>
        <v>903939</v>
      </c>
      <c r="V299" s="503">
        <f t="shared" si="505"/>
        <v>0</v>
      </c>
      <c r="W299" s="503">
        <f t="shared" si="505"/>
        <v>0</v>
      </c>
      <c r="X299" s="503">
        <f t="shared" si="505"/>
        <v>0</v>
      </c>
      <c r="Y299" s="503">
        <f t="shared" si="505"/>
        <v>0</v>
      </c>
      <c r="Z299" s="503">
        <f t="shared" si="505"/>
        <v>903939</v>
      </c>
      <c r="AA299" s="503">
        <f t="shared" si="505"/>
        <v>305531</v>
      </c>
      <c r="AB299" s="503">
        <f t="shared" si="505"/>
        <v>9039</v>
      </c>
      <c r="AC299" s="503">
        <f t="shared" si="505"/>
        <v>0</v>
      </c>
      <c r="AD299" s="891">
        <f t="shared" si="505"/>
        <v>1218509</v>
      </c>
      <c r="AE299" s="701">
        <f t="shared" si="505"/>
        <v>0</v>
      </c>
      <c r="AF299" s="701">
        <f t="shared" si="505"/>
        <v>2.2800000000000002</v>
      </c>
      <c r="AG299" s="502">
        <f t="shared" si="505"/>
        <v>0</v>
      </c>
      <c r="AH299" s="502">
        <f t="shared" si="505"/>
        <v>0</v>
      </c>
      <c r="AI299" s="502">
        <f t="shared" si="505"/>
        <v>0</v>
      </c>
      <c r="AJ299" s="502">
        <f t="shared" si="505"/>
        <v>0</v>
      </c>
      <c r="AK299" s="630">
        <f t="shared" si="505"/>
        <v>2.2800000000000002</v>
      </c>
      <c r="AL299" s="629">
        <f t="shared" si="505"/>
        <v>14696372</v>
      </c>
      <c r="AM299" s="503">
        <f t="shared" si="505"/>
        <v>10902354</v>
      </c>
      <c r="AN299" s="552">
        <f t="shared" si="505"/>
        <v>0</v>
      </c>
      <c r="AO299" s="503">
        <f t="shared" si="505"/>
        <v>3684995</v>
      </c>
      <c r="AP299" s="503">
        <f t="shared" si="505"/>
        <v>109023</v>
      </c>
      <c r="AQ299" s="503">
        <f t="shared" si="505"/>
        <v>0</v>
      </c>
      <c r="AR299" s="630">
        <f t="shared" si="505"/>
        <v>18.7135</v>
      </c>
    </row>
    <row r="300" spans="1:44" ht="14.1" customHeight="1" x14ac:dyDescent="0.2">
      <c r="A300" s="499">
        <v>75</v>
      </c>
      <c r="B300" s="512">
        <v>2461</v>
      </c>
      <c r="C300" s="513">
        <v>600079805</v>
      </c>
      <c r="D300" s="512">
        <v>72741724</v>
      </c>
      <c r="E300" s="511" t="s">
        <v>664</v>
      </c>
      <c r="F300" s="499">
        <v>3111</v>
      </c>
      <c r="G300" s="511" t="s">
        <v>277</v>
      </c>
      <c r="H300" s="495" t="s">
        <v>262</v>
      </c>
      <c r="I300" s="627">
        <f t="shared" si="456"/>
        <v>1516256</v>
      </c>
      <c r="J300" s="14">
        <v>1124819</v>
      </c>
      <c r="K300" s="14">
        <v>380189</v>
      </c>
      <c r="L300" s="14">
        <v>11248</v>
      </c>
      <c r="M300" s="14">
        <v>0</v>
      </c>
      <c r="N300" s="121">
        <v>2</v>
      </c>
      <c r="O300" s="696">
        <f t="shared" si="457"/>
        <v>0</v>
      </c>
      <c r="P300" s="492">
        <v>0</v>
      </c>
      <c r="Q300" s="492">
        <v>0</v>
      </c>
      <c r="R300" s="492">
        <v>0</v>
      </c>
      <c r="S300" s="492">
        <v>0</v>
      </c>
      <c r="T300" s="492">
        <v>0</v>
      </c>
      <c r="U300" s="492">
        <f>O300+P300+Q300+R300+S300+T300</f>
        <v>0</v>
      </c>
      <c r="V300" s="492">
        <v>0</v>
      </c>
      <c r="W300" s="492">
        <v>0</v>
      </c>
      <c r="X300" s="492">
        <v>0</v>
      </c>
      <c r="Y300" s="492">
        <f t="shared" ref="Y300:Y303" si="506">V300+W300+X300</f>
        <v>0</v>
      </c>
      <c r="Z300" s="492">
        <f t="shared" ref="Z300:Z303" si="507">U300+Y300</f>
        <v>0</v>
      </c>
      <c r="AA300" s="494">
        <f t="shared" ref="AA300:AA303" si="508">ROUND((U300+Y300)*33.8%,0)</f>
        <v>0</v>
      </c>
      <c r="AB300" s="494">
        <f t="shared" ref="AB300:AB303" si="509">ROUND(U300*1%,0)</f>
        <v>0</v>
      </c>
      <c r="AC300" s="14">
        <v>0</v>
      </c>
      <c r="AD300" s="892">
        <f t="shared" si="463"/>
        <v>0</v>
      </c>
      <c r="AE300" s="702">
        <v>0</v>
      </c>
      <c r="AF300" s="702">
        <v>0</v>
      </c>
      <c r="AG300" s="491">
        <v>0</v>
      </c>
      <c r="AH300" s="491">
        <v>0</v>
      </c>
      <c r="AI300" s="491">
        <v>0</v>
      </c>
      <c r="AJ300" s="491">
        <v>0</v>
      </c>
      <c r="AK300" s="626">
        <f>SUM(AE300:AJ300)</f>
        <v>0</v>
      </c>
      <c r="AL300" s="696">
        <f>I300+AD300</f>
        <v>1516256</v>
      </c>
      <c r="AM300" s="492">
        <f>J300+U300</f>
        <v>1124819</v>
      </c>
      <c r="AN300" s="492">
        <f>Y300</f>
        <v>0</v>
      </c>
      <c r="AO300" s="492">
        <f t="shared" ref="AO300:AQ303" si="510">K300+AA300</f>
        <v>380189</v>
      </c>
      <c r="AP300" s="492">
        <f t="shared" si="510"/>
        <v>11248</v>
      </c>
      <c r="AQ300" s="578">
        <f t="shared" si="510"/>
        <v>0</v>
      </c>
      <c r="AR300" s="626">
        <f>N300+AK300</f>
        <v>2</v>
      </c>
    </row>
    <row r="301" spans="1:44" ht="14.1" customHeight="1" x14ac:dyDescent="0.2">
      <c r="A301" s="499">
        <v>75</v>
      </c>
      <c r="B301" s="512">
        <v>2461</v>
      </c>
      <c r="C301" s="513">
        <v>600079805</v>
      </c>
      <c r="D301" s="512">
        <v>72741724</v>
      </c>
      <c r="E301" s="511" t="s">
        <v>664</v>
      </c>
      <c r="F301" s="499">
        <v>3117</v>
      </c>
      <c r="G301" s="511" t="s">
        <v>280</v>
      </c>
      <c r="H301" s="495" t="s">
        <v>262</v>
      </c>
      <c r="I301" s="627">
        <f t="shared" si="456"/>
        <v>2655242</v>
      </c>
      <c r="J301" s="14">
        <v>1969764</v>
      </c>
      <c r="K301" s="14">
        <v>665780</v>
      </c>
      <c r="L301" s="14">
        <v>19698</v>
      </c>
      <c r="M301" s="14">
        <v>0</v>
      </c>
      <c r="N301" s="121">
        <v>2.5455000000000001</v>
      </c>
      <c r="O301" s="696">
        <f t="shared" si="457"/>
        <v>-100000</v>
      </c>
      <c r="P301" s="492">
        <v>0</v>
      </c>
      <c r="Q301" s="492">
        <v>0</v>
      </c>
      <c r="R301" s="492">
        <v>0</v>
      </c>
      <c r="S301" s="492">
        <v>0</v>
      </c>
      <c r="T301" s="492">
        <v>0</v>
      </c>
      <c r="U301" s="492">
        <f>O301+P301+Q301+R301+S301+T301</f>
        <v>-100000</v>
      </c>
      <c r="V301" s="492">
        <v>100000</v>
      </c>
      <c r="W301" s="492">
        <v>0</v>
      </c>
      <c r="X301" s="492">
        <v>0</v>
      </c>
      <c r="Y301" s="492">
        <f t="shared" si="506"/>
        <v>100000</v>
      </c>
      <c r="Z301" s="492">
        <f t="shared" si="507"/>
        <v>0</v>
      </c>
      <c r="AA301" s="494">
        <f t="shared" si="508"/>
        <v>0</v>
      </c>
      <c r="AB301" s="494">
        <f t="shared" si="509"/>
        <v>-1000</v>
      </c>
      <c r="AC301" s="14">
        <v>0</v>
      </c>
      <c r="AD301" s="892">
        <f t="shared" si="463"/>
        <v>-1000</v>
      </c>
      <c r="AE301" s="702">
        <v>-0.14000000000000001</v>
      </c>
      <c r="AF301" s="702">
        <v>0</v>
      </c>
      <c r="AG301" s="491">
        <v>0</v>
      </c>
      <c r="AH301" s="491">
        <v>0</v>
      </c>
      <c r="AI301" s="491">
        <v>0</v>
      </c>
      <c r="AJ301" s="491">
        <v>0</v>
      </c>
      <c r="AK301" s="626">
        <f>SUM(AE301:AJ301)</f>
        <v>-0.14000000000000001</v>
      </c>
      <c r="AL301" s="696">
        <f>I301+AD301</f>
        <v>2654242</v>
      </c>
      <c r="AM301" s="492">
        <f>J301+U301</f>
        <v>1869764</v>
      </c>
      <c r="AN301" s="492">
        <f>Y301</f>
        <v>100000</v>
      </c>
      <c r="AO301" s="492">
        <f t="shared" si="510"/>
        <v>665780</v>
      </c>
      <c r="AP301" s="492">
        <f t="shared" si="510"/>
        <v>18698</v>
      </c>
      <c r="AQ301" s="578">
        <f t="shared" si="510"/>
        <v>0</v>
      </c>
      <c r="AR301" s="626">
        <f>N301+AK301</f>
        <v>2.4055</v>
      </c>
    </row>
    <row r="302" spans="1:44" ht="14.1" customHeight="1" x14ac:dyDescent="0.2">
      <c r="A302" s="499">
        <v>75</v>
      </c>
      <c r="B302" s="512">
        <v>2461</v>
      </c>
      <c r="C302" s="513">
        <v>600079805</v>
      </c>
      <c r="D302" s="512">
        <v>72741724</v>
      </c>
      <c r="E302" s="511" t="s">
        <v>664</v>
      </c>
      <c r="F302" s="499">
        <v>3117</v>
      </c>
      <c r="G302" s="514" t="s">
        <v>278</v>
      </c>
      <c r="H302" s="495" t="s">
        <v>263</v>
      </c>
      <c r="I302" s="627">
        <f t="shared" si="456"/>
        <v>0</v>
      </c>
      <c r="J302" s="490">
        <v>0</v>
      </c>
      <c r="K302" s="14">
        <v>0</v>
      </c>
      <c r="L302" s="14">
        <v>0</v>
      </c>
      <c r="M302" s="14">
        <v>0</v>
      </c>
      <c r="N302" s="682">
        <v>0</v>
      </c>
      <c r="O302" s="696">
        <f t="shared" si="457"/>
        <v>0</v>
      </c>
      <c r="P302" s="490">
        <v>809334</v>
      </c>
      <c r="Q302" s="492">
        <v>0</v>
      </c>
      <c r="R302" s="492">
        <v>0</v>
      </c>
      <c r="S302" s="492">
        <v>0</v>
      </c>
      <c r="T302" s="492">
        <v>0</v>
      </c>
      <c r="U302" s="492">
        <f>O302+P302+Q302+R302+S302+T302</f>
        <v>809334</v>
      </c>
      <c r="V302" s="492">
        <v>0</v>
      </c>
      <c r="W302" s="492">
        <v>0</v>
      </c>
      <c r="X302" s="492">
        <v>0</v>
      </c>
      <c r="Y302" s="492">
        <f t="shared" si="506"/>
        <v>0</v>
      </c>
      <c r="Z302" s="492">
        <f t="shared" si="507"/>
        <v>809334</v>
      </c>
      <c r="AA302" s="494">
        <f t="shared" si="508"/>
        <v>273555</v>
      </c>
      <c r="AB302" s="494">
        <f t="shared" si="509"/>
        <v>8093</v>
      </c>
      <c r="AC302" s="14">
        <v>0</v>
      </c>
      <c r="AD302" s="892">
        <f t="shared" si="463"/>
        <v>1090982</v>
      </c>
      <c r="AE302" s="702">
        <v>0</v>
      </c>
      <c r="AF302" s="121">
        <v>1.9400000000000002</v>
      </c>
      <c r="AG302" s="491">
        <v>0</v>
      </c>
      <c r="AH302" s="491">
        <v>0</v>
      </c>
      <c r="AI302" s="491">
        <v>0</v>
      </c>
      <c r="AJ302" s="491">
        <v>0</v>
      </c>
      <c r="AK302" s="626">
        <f>SUM(AE302:AJ302)</f>
        <v>1.9400000000000002</v>
      </c>
      <c r="AL302" s="696">
        <f>I302+AD302</f>
        <v>1090982</v>
      </c>
      <c r="AM302" s="492">
        <f>J302+U302</f>
        <v>809334</v>
      </c>
      <c r="AN302" s="492">
        <f>Y302</f>
        <v>0</v>
      </c>
      <c r="AO302" s="492">
        <f t="shared" si="510"/>
        <v>273555</v>
      </c>
      <c r="AP302" s="492">
        <f t="shared" si="510"/>
        <v>8093</v>
      </c>
      <c r="AQ302" s="578">
        <f t="shared" si="510"/>
        <v>0</v>
      </c>
      <c r="AR302" s="626">
        <f>N302+AK302</f>
        <v>1.9400000000000002</v>
      </c>
    </row>
    <row r="303" spans="1:44" ht="14.1" customHeight="1" x14ac:dyDescent="0.2">
      <c r="A303" s="499">
        <v>75</v>
      </c>
      <c r="B303" s="512">
        <v>2461</v>
      </c>
      <c r="C303" s="513">
        <v>600079805</v>
      </c>
      <c r="D303" s="512">
        <v>72741724</v>
      </c>
      <c r="E303" s="511" t="s">
        <v>664</v>
      </c>
      <c r="F303" s="499">
        <v>3143</v>
      </c>
      <c r="G303" s="514" t="s">
        <v>795</v>
      </c>
      <c r="H303" s="495" t="s">
        <v>262</v>
      </c>
      <c r="I303" s="627">
        <f t="shared" si="456"/>
        <v>791654</v>
      </c>
      <c r="J303" s="14">
        <v>587280</v>
      </c>
      <c r="K303" s="14">
        <v>198501</v>
      </c>
      <c r="L303" s="14">
        <v>5873</v>
      </c>
      <c r="M303" s="14">
        <v>0</v>
      </c>
      <c r="N303" s="121">
        <v>1.0832999999999999</v>
      </c>
      <c r="O303" s="696">
        <f t="shared" si="457"/>
        <v>0</v>
      </c>
      <c r="P303" s="492">
        <v>0</v>
      </c>
      <c r="Q303" s="492">
        <v>0</v>
      </c>
      <c r="R303" s="492">
        <v>0</v>
      </c>
      <c r="S303" s="492">
        <v>0</v>
      </c>
      <c r="T303" s="492">
        <v>0</v>
      </c>
      <c r="U303" s="492">
        <f>O303+P303+Q303+R303+S303+T303</f>
        <v>0</v>
      </c>
      <c r="V303" s="492">
        <v>0</v>
      </c>
      <c r="W303" s="492">
        <v>0</v>
      </c>
      <c r="X303" s="492">
        <v>0</v>
      </c>
      <c r="Y303" s="492">
        <f t="shared" si="506"/>
        <v>0</v>
      </c>
      <c r="Z303" s="492">
        <f t="shared" si="507"/>
        <v>0</v>
      </c>
      <c r="AA303" s="494">
        <f t="shared" si="508"/>
        <v>0</v>
      </c>
      <c r="AB303" s="494">
        <f t="shared" si="509"/>
        <v>0</v>
      </c>
      <c r="AC303" s="14">
        <v>0</v>
      </c>
      <c r="AD303" s="892">
        <f t="shared" si="463"/>
        <v>0</v>
      </c>
      <c r="AE303" s="702">
        <v>0</v>
      </c>
      <c r="AF303" s="702">
        <v>0</v>
      </c>
      <c r="AG303" s="491">
        <v>0</v>
      </c>
      <c r="AH303" s="491">
        <v>0</v>
      </c>
      <c r="AI303" s="491">
        <v>0</v>
      </c>
      <c r="AJ303" s="491">
        <v>0</v>
      </c>
      <c r="AK303" s="626">
        <f>SUM(AE303:AJ303)</f>
        <v>0</v>
      </c>
      <c r="AL303" s="696">
        <f>I303+AD303</f>
        <v>791654</v>
      </c>
      <c r="AM303" s="492">
        <f>J303+U303</f>
        <v>587280</v>
      </c>
      <c r="AN303" s="492">
        <f>Y303</f>
        <v>0</v>
      </c>
      <c r="AO303" s="492">
        <f t="shared" si="510"/>
        <v>198501</v>
      </c>
      <c r="AP303" s="492">
        <f t="shared" si="510"/>
        <v>5873</v>
      </c>
      <c r="AQ303" s="578">
        <f t="shared" si="510"/>
        <v>0</v>
      </c>
      <c r="AR303" s="626">
        <f>N303+AK303</f>
        <v>1.0832999999999999</v>
      </c>
    </row>
    <row r="304" spans="1:44" ht="14.1" customHeight="1" x14ac:dyDescent="0.2">
      <c r="A304" s="510">
        <v>75</v>
      </c>
      <c r="B304" s="508">
        <v>2461</v>
      </c>
      <c r="C304" s="509">
        <v>600079805</v>
      </c>
      <c r="D304" s="508">
        <v>72741724</v>
      </c>
      <c r="E304" s="506" t="s">
        <v>665</v>
      </c>
      <c r="F304" s="510"/>
      <c r="G304" s="506"/>
      <c r="H304" s="505"/>
      <c r="I304" s="629">
        <f t="shared" ref="I304:AR304" si="511">SUM(I300:I303)</f>
        <v>4963152</v>
      </c>
      <c r="J304" s="504">
        <f t="shared" si="511"/>
        <v>3681863</v>
      </c>
      <c r="K304" s="504">
        <f t="shared" si="511"/>
        <v>1244470</v>
      </c>
      <c r="L304" s="504">
        <f t="shared" si="511"/>
        <v>36819</v>
      </c>
      <c r="M304" s="504">
        <f t="shared" si="511"/>
        <v>0</v>
      </c>
      <c r="N304" s="885">
        <f t="shared" si="511"/>
        <v>5.6288</v>
      </c>
      <c r="O304" s="629">
        <f t="shared" si="511"/>
        <v>-100000</v>
      </c>
      <c r="P304" s="503">
        <f t="shared" si="511"/>
        <v>809334</v>
      </c>
      <c r="Q304" s="503">
        <f t="shared" si="511"/>
        <v>0</v>
      </c>
      <c r="R304" s="503">
        <f t="shared" si="511"/>
        <v>0</v>
      </c>
      <c r="S304" s="503">
        <f t="shared" si="511"/>
        <v>0</v>
      </c>
      <c r="T304" s="503">
        <f t="shared" si="511"/>
        <v>0</v>
      </c>
      <c r="U304" s="503">
        <f t="shared" si="511"/>
        <v>709334</v>
      </c>
      <c r="V304" s="503">
        <f t="shared" si="511"/>
        <v>100000</v>
      </c>
      <c r="W304" s="503">
        <f t="shared" si="511"/>
        <v>0</v>
      </c>
      <c r="X304" s="503">
        <f t="shared" si="511"/>
        <v>0</v>
      </c>
      <c r="Y304" s="503">
        <f t="shared" si="511"/>
        <v>100000</v>
      </c>
      <c r="Z304" s="503">
        <f t="shared" si="511"/>
        <v>809334</v>
      </c>
      <c r="AA304" s="503">
        <f t="shared" si="511"/>
        <v>273555</v>
      </c>
      <c r="AB304" s="503">
        <f t="shared" si="511"/>
        <v>7093</v>
      </c>
      <c r="AC304" s="503">
        <f t="shared" si="511"/>
        <v>0</v>
      </c>
      <c r="AD304" s="891">
        <f t="shared" si="511"/>
        <v>1089982</v>
      </c>
      <c r="AE304" s="701">
        <f t="shared" si="511"/>
        <v>-0.14000000000000001</v>
      </c>
      <c r="AF304" s="701">
        <f t="shared" si="511"/>
        <v>1.9400000000000002</v>
      </c>
      <c r="AG304" s="502">
        <f t="shared" si="511"/>
        <v>0</v>
      </c>
      <c r="AH304" s="502">
        <f t="shared" si="511"/>
        <v>0</v>
      </c>
      <c r="AI304" s="502">
        <f t="shared" si="511"/>
        <v>0</v>
      </c>
      <c r="AJ304" s="502">
        <f t="shared" si="511"/>
        <v>0</v>
      </c>
      <c r="AK304" s="630">
        <f t="shared" si="511"/>
        <v>1.8000000000000003</v>
      </c>
      <c r="AL304" s="629">
        <f t="shared" si="511"/>
        <v>6053134</v>
      </c>
      <c r="AM304" s="503">
        <f t="shared" si="511"/>
        <v>4391197</v>
      </c>
      <c r="AN304" s="552">
        <f t="shared" si="511"/>
        <v>100000</v>
      </c>
      <c r="AO304" s="503">
        <f t="shared" si="511"/>
        <v>1518025</v>
      </c>
      <c r="AP304" s="503">
        <f t="shared" si="511"/>
        <v>43912</v>
      </c>
      <c r="AQ304" s="503">
        <f t="shared" si="511"/>
        <v>0</v>
      </c>
      <c r="AR304" s="630">
        <f t="shared" si="511"/>
        <v>7.4288000000000007</v>
      </c>
    </row>
    <row r="305" spans="1:44" ht="14.1" customHeight="1" x14ac:dyDescent="0.2">
      <c r="A305" s="499">
        <v>76</v>
      </c>
      <c r="B305" s="512">
        <v>2460</v>
      </c>
      <c r="C305" s="513">
        <v>600079783</v>
      </c>
      <c r="D305" s="512">
        <v>72741643</v>
      </c>
      <c r="E305" s="511" t="s">
        <v>666</v>
      </c>
      <c r="F305" s="499">
        <v>3113</v>
      </c>
      <c r="G305" s="511" t="s">
        <v>280</v>
      </c>
      <c r="H305" s="495" t="s">
        <v>262</v>
      </c>
      <c r="I305" s="627">
        <f t="shared" si="456"/>
        <v>43675490</v>
      </c>
      <c r="J305" s="14">
        <v>32400215</v>
      </c>
      <c r="K305" s="14">
        <v>10951273</v>
      </c>
      <c r="L305" s="14">
        <v>324002</v>
      </c>
      <c r="M305" s="14">
        <v>0</v>
      </c>
      <c r="N305" s="121">
        <v>43.136200000000002</v>
      </c>
      <c r="O305" s="696">
        <f t="shared" si="457"/>
        <v>0</v>
      </c>
      <c r="P305" s="492">
        <v>0</v>
      </c>
      <c r="Q305" s="492">
        <v>135525</v>
      </c>
      <c r="R305" s="492">
        <v>0</v>
      </c>
      <c r="S305" s="492">
        <v>0</v>
      </c>
      <c r="T305" s="492">
        <v>0</v>
      </c>
      <c r="U305" s="492">
        <f>O305+P305+Q305+R305+S305+T305</f>
        <v>135525</v>
      </c>
      <c r="V305" s="492">
        <v>0</v>
      </c>
      <c r="W305" s="492">
        <v>0</v>
      </c>
      <c r="X305" s="492">
        <v>0</v>
      </c>
      <c r="Y305" s="492">
        <f t="shared" ref="Y305:Y308" si="512">V305+W305+X305</f>
        <v>0</v>
      </c>
      <c r="Z305" s="492">
        <f t="shared" ref="Z305:Z308" si="513">U305+Y305</f>
        <v>135525</v>
      </c>
      <c r="AA305" s="494">
        <f t="shared" ref="AA305:AA308" si="514">ROUND((U305+Y305)*33.8%,0)</f>
        <v>45807</v>
      </c>
      <c r="AB305" s="494">
        <f>ROUND(U305*1%,0)</f>
        <v>1355</v>
      </c>
      <c r="AC305" s="14">
        <v>0</v>
      </c>
      <c r="AD305" s="892">
        <f t="shared" si="463"/>
        <v>182687</v>
      </c>
      <c r="AE305" s="702">
        <v>0</v>
      </c>
      <c r="AF305" s="702">
        <v>0</v>
      </c>
      <c r="AG305" s="491">
        <v>0</v>
      </c>
      <c r="AH305" s="491">
        <v>0.2</v>
      </c>
      <c r="AI305" s="491">
        <v>0</v>
      </c>
      <c r="AJ305" s="491">
        <v>0</v>
      </c>
      <c r="AK305" s="626">
        <f>SUM(AE305:AJ305)</f>
        <v>0.2</v>
      </c>
      <c r="AL305" s="696">
        <f>I305+AD305</f>
        <v>43858177</v>
      </c>
      <c r="AM305" s="492">
        <f>J305+U305</f>
        <v>32535740</v>
      </c>
      <c r="AN305" s="492">
        <f>Y305</f>
        <v>0</v>
      </c>
      <c r="AO305" s="492">
        <f t="shared" ref="AO305:AQ308" si="515">K305+AA305</f>
        <v>10997080</v>
      </c>
      <c r="AP305" s="492">
        <f t="shared" si="515"/>
        <v>325357</v>
      </c>
      <c r="AQ305" s="578">
        <f t="shared" si="515"/>
        <v>0</v>
      </c>
      <c r="AR305" s="626">
        <f>N305+AK305</f>
        <v>43.336200000000005</v>
      </c>
    </row>
    <row r="306" spans="1:44" ht="14.1" customHeight="1" x14ac:dyDescent="0.2">
      <c r="A306" s="499">
        <v>76</v>
      </c>
      <c r="B306" s="512">
        <v>2460</v>
      </c>
      <c r="C306" s="513">
        <v>600079783</v>
      </c>
      <c r="D306" s="512">
        <v>72741643</v>
      </c>
      <c r="E306" s="511" t="s">
        <v>666</v>
      </c>
      <c r="F306" s="499">
        <v>3113</v>
      </c>
      <c r="G306" s="511" t="s">
        <v>799</v>
      </c>
      <c r="H306" s="495" t="s">
        <v>262</v>
      </c>
      <c r="I306" s="627">
        <f t="shared" si="456"/>
        <v>755421</v>
      </c>
      <c r="J306" s="14">
        <v>560401</v>
      </c>
      <c r="K306" s="14">
        <v>189416</v>
      </c>
      <c r="L306" s="14">
        <v>5604</v>
      </c>
      <c r="M306" s="14">
        <v>0</v>
      </c>
      <c r="N306" s="121">
        <v>0.9</v>
      </c>
      <c r="O306" s="696">
        <f t="shared" si="457"/>
        <v>0</v>
      </c>
      <c r="P306" s="492">
        <v>0</v>
      </c>
      <c r="Q306" s="492">
        <v>0</v>
      </c>
      <c r="R306" s="492">
        <v>0</v>
      </c>
      <c r="S306" s="492">
        <v>0</v>
      </c>
      <c r="T306" s="492">
        <v>0</v>
      </c>
      <c r="U306" s="492">
        <f>O306+P306+Q306+R306+S306+T306</f>
        <v>0</v>
      </c>
      <c r="V306" s="492">
        <v>0</v>
      </c>
      <c r="W306" s="492">
        <v>0</v>
      </c>
      <c r="X306" s="492">
        <v>0</v>
      </c>
      <c r="Y306" s="492">
        <f t="shared" ref="Y306" si="516">V306+W306+X306</f>
        <v>0</v>
      </c>
      <c r="Z306" s="492">
        <f t="shared" ref="Z306" si="517">U306+Y306</f>
        <v>0</v>
      </c>
      <c r="AA306" s="494">
        <f t="shared" ref="AA306" si="518">ROUND((U306+Y306)*33.8%,0)</f>
        <v>0</v>
      </c>
      <c r="AB306" s="494">
        <f>ROUND(U306*1%,0)</f>
        <v>0</v>
      </c>
      <c r="AC306" s="14">
        <v>0</v>
      </c>
      <c r="AD306" s="892">
        <f t="shared" si="463"/>
        <v>0</v>
      </c>
      <c r="AE306" s="702">
        <v>0</v>
      </c>
      <c r="AF306" s="702">
        <v>0</v>
      </c>
      <c r="AG306" s="491">
        <v>0</v>
      </c>
      <c r="AH306" s="491">
        <v>0</v>
      </c>
      <c r="AI306" s="491">
        <v>0</v>
      </c>
      <c r="AJ306" s="491">
        <v>0</v>
      </c>
      <c r="AK306" s="626">
        <f>SUM(AE306:AJ306)</f>
        <v>0</v>
      </c>
      <c r="AL306" s="696">
        <f>I306+AD306</f>
        <v>755421</v>
      </c>
      <c r="AM306" s="492">
        <f>J306+U306</f>
        <v>560401</v>
      </c>
      <c r="AN306" s="492">
        <f>Y306</f>
        <v>0</v>
      </c>
      <c r="AO306" s="492">
        <f t="shared" si="515"/>
        <v>189416</v>
      </c>
      <c r="AP306" s="492">
        <f t="shared" si="515"/>
        <v>5604</v>
      </c>
      <c r="AQ306" s="578">
        <f t="shared" si="515"/>
        <v>0</v>
      </c>
      <c r="AR306" s="626">
        <f>N306+AK306</f>
        <v>0.9</v>
      </c>
    </row>
    <row r="307" spans="1:44" ht="14.1" customHeight="1" x14ac:dyDescent="0.2">
      <c r="A307" s="499">
        <v>76</v>
      </c>
      <c r="B307" s="512">
        <v>2460</v>
      </c>
      <c r="C307" s="513">
        <v>600079783</v>
      </c>
      <c r="D307" s="512">
        <v>72741643</v>
      </c>
      <c r="E307" s="511" t="s">
        <v>666</v>
      </c>
      <c r="F307" s="499">
        <v>3113</v>
      </c>
      <c r="G307" s="514" t="s">
        <v>278</v>
      </c>
      <c r="H307" s="495" t="s">
        <v>263</v>
      </c>
      <c r="I307" s="627">
        <f t="shared" si="456"/>
        <v>0</v>
      </c>
      <c r="J307" s="490">
        <v>0</v>
      </c>
      <c r="K307" s="14">
        <v>0</v>
      </c>
      <c r="L307" s="14">
        <v>0</v>
      </c>
      <c r="M307" s="14">
        <v>0</v>
      </c>
      <c r="N307" s="682">
        <v>0</v>
      </c>
      <c r="O307" s="696">
        <f t="shared" si="457"/>
        <v>0</v>
      </c>
      <c r="P307" s="490">
        <f>674742+24283</f>
        <v>699025</v>
      </c>
      <c r="Q307" s="492">
        <v>0</v>
      </c>
      <c r="R307" s="492">
        <v>0</v>
      </c>
      <c r="S307" s="492">
        <v>0</v>
      </c>
      <c r="T307" s="492">
        <v>0</v>
      </c>
      <c r="U307" s="492">
        <f>O307+P307+Q307+R307+S307+T307</f>
        <v>699025</v>
      </c>
      <c r="V307" s="492">
        <v>0</v>
      </c>
      <c r="W307" s="492">
        <v>0</v>
      </c>
      <c r="X307" s="492">
        <v>0</v>
      </c>
      <c r="Y307" s="492">
        <f t="shared" si="512"/>
        <v>0</v>
      </c>
      <c r="Z307" s="492">
        <f t="shared" si="513"/>
        <v>699025</v>
      </c>
      <c r="AA307" s="494">
        <f t="shared" si="514"/>
        <v>236270</v>
      </c>
      <c r="AB307" s="494">
        <f>ROUND(U307*1%,0)</f>
        <v>6990</v>
      </c>
      <c r="AC307" s="14">
        <v>0</v>
      </c>
      <c r="AD307" s="892">
        <f t="shared" si="463"/>
        <v>942285</v>
      </c>
      <c r="AE307" s="702">
        <v>0</v>
      </c>
      <c r="AF307" s="121">
        <f>1.65+0.05</f>
        <v>1.7</v>
      </c>
      <c r="AG307" s="491">
        <v>0</v>
      </c>
      <c r="AH307" s="491">
        <v>0</v>
      </c>
      <c r="AI307" s="491">
        <v>0</v>
      </c>
      <c r="AJ307" s="491">
        <v>0</v>
      </c>
      <c r="AK307" s="626">
        <f>SUM(AE307:AJ307)</f>
        <v>1.7</v>
      </c>
      <c r="AL307" s="696">
        <f>I307+AD307</f>
        <v>942285</v>
      </c>
      <c r="AM307" s="492">
        <f>J307+U307</f>
        <v>699025</v>
      </c>
      <c r="AN307" s="492">
        <f>Y307</f>
        <v>0</v>
      </c>
      <c r="AO307" s="492">
        <f t="shared" si="515"/>
        <v>236270</v>
      </c>
      <c r="AP307" s="492">
        <f t="shared" si="515"/>
        <v>6990</v>
      </c>
      <c r="AQ307" s="578">
        <f t="shared" si="515"/>
        <v>0</v>
      </c>
      <c r="AR307" s="626">
        <f>N307+AK307</f>
        <v>1.7</v>
      </c>
    </row>
    <row r="308" spans="1:44" ht="14.1" customHeight="1" x14ac:dyDescent="0.2">
      <c r="A308" s="499">
        <v>76</v>
      </c>
      <c r="B308" s="512">
        <v>2460</v>
      </c>
      <c r="C308" s="513">
        <v>600079783</v>
      </c>
      <c r="D308" s="512">
        <v>72741643</v>
      </c>
      <c r="E308" s="511" t="s">
        <v>666</v>
      </c>
      <c r="F308" s="499">
        <v>3143</v>
      </c>
      <c r="G308" s="514" t="s">
        <v>794</v>
      </c>
      <c r="H308" s="495" t="s">
        <v>262</v>
      </c>
      <c r="I308" s="627">
        <f t="shared" si="456"/>
        <v>3168224</v>
      </c>
      <c r="J308" s="14">
        <v>2350315</v>
      </c>
      <c r="K308" s="14">
        <v>794406</v>
      </c>
      <c r="L308" s="14">
        <v>23503</v>
      </c>
      <c r="M308" s="14">
        <v>0</v>
      </c>
      <c r="N308" s="121">
        <v>4.3213999999999997</v>
      </c>
      <c r="O308" s="696">
        <f t="shared" si="457"/>
        <v>0</v>
      </c>
      <c r="P308" s="492">
        <v>0</v>
      </c>
      <c r="Q308" s="492">
        <v>0</v>
      </c>
      <c r="R308" s="492">
        <v>0</v>
      </c>
      <c r="S308" s="492">
        <v>0</v>
      </c>
      <c r="T308" s="492">
        <v>0</v>
      </c>
      <c r="U308" s="492">
        <f>O308+P308+Q308+R308+S308+T308</f>
        <v>0</v>
      </c>
      <c r="V308" s="492">
        <v>0</v>
      </c>
      <c r="W308" s="492">
        <v>0</v>
      </c>
      <c r="X308" s="492">
        <v>0</v>
      </c>
      <c r="Y308" s="492">
        <f t="shared" si="512"/>
        <v>0</v>
      </c>
      <c r="Z308" s="492">
        <f t="shared" si="513"/>
        <v>0</v>
      </c>
      <c r="AA308" s="494">
        <f t="shared" si="514"/>
        <v>0</v>
      </c>
      <c r="AB308" s="494">
        <f>ROUND(U308*1%,0)</f>
        <v>0</v>
      </c>
      <c r="AC308" s="14">
        <v>0</v>
      </c>
      <c r="AD308" s="892">
        <f t="shared" si="463"/>
        <v>0</v>
      </c>
      <c r="AE308" s="702">
        <v>0</v>
      </c>
      <c r="AF308" s="702">
        <v>0</v>
      </c>
      <c r="AG308" s="491">
        <v>0</v>
      </c>
      <c r="AH308" s="491">
        <v>0</v>
      </c>
      <c r="AI308" s="491">
        <v>0</v>
      </c>
      <c r="AJ308" s="491">
        <v>0</v>
      </c>
      <c r="AK308" s="626">
        <f>SUM(AE308:AJ308)</f>
        <v>0</v>
      </c>
      <c r="AL308" s="696">
        <f>I308+AD308</f>
        <v>3168224</v>
      </c>
      <c r="AM308" s="492">
        <f>J308+U308</f>
        <v>2350315</v>
      </c>
      <c r="AN308" s="492">
        <f>Y308</f>
        <v>0</v>
      </c>
      <c r="AO308" s="492">
        <f t="shared" si="515"/>
        <v>794406</v>
      </c>
      <c r="AP308" s="492">
        <f t="shared" si="515"/>
        <v>23503</v>
      </c>
      <c r="AQ308" s="578">
        <f t="shared" si="515"/>
        <v>0</v>
      </c>
      <c r="AR308" s="626">
        <f>N308+AK308</f>
        <v>4.3213999999999997</v>
      </c>
    </row>
    <row r="309" spans="1:44" ht="14.1" customHeight="1" x14ac:dyDescent="0.2">
      <c r="A309" s="510">
        <v>76</v>
      </c>
      <c r="B309" s="508">
        <v>2460</v>
      </c>
      <c r="C309" s="509">
        <v>600079783</v>
      </c>
      <c r="D309" s="508">
        <v>72741643</v>
      </c>
      <c r="E309" s="506" t="s">
        <v>667</v>
      </c>
      <c r="F309" s="510"/>
      <c r="G309" s="506"/>
      <c r="H309" s="505"/>
      <c r="I309" s="629">
        <f t="shared" ref="I309:N309" si="519">SUM(I305:I308)</f>
        <v>47599135</v>
      </c>
      <c r="J309" s="504">
        <f t="shared" si="519"/>
        <v>35310931</v>
      </c>
      <c r="K309" s="504">
        <f t="shared" si="519"/>
        <v>11935095</v>
      </c>
      <c r="L309" s="504">
        <f t="shared" si="519"/>
        <v>353109</v>
      </c>
      <c r="M309" s="504">
        <f t="shared" si="519"/>
        <v>0</v>
      </c>
      <c r="N309" s="885">
        <f t="shared" si="519"/>
        <v>48.357599999999998</v>
      </c>
      <c r="O309" s="629">
        <f t="shared" ref="O309:AR309" si="520">SUM(O305:O308)</f>
        <v>0</v>
      </c>
      <c r="P309" s="503">
        <f t="shared" si="520"/>
        <v>699025</v>
      </c>
      <c r="Q309" s="503">
        <f t="shared" si="520"/>
        <v>135525</v>
      </c>
      <c r="R309" s="503">
        <f t="shared" si="520"/>
        <v>0</v>
      </c>
      <c r="S309" s="503">
        <f t="shared" si="520"/>
        <v>0</v>
      </c>
      <c r="T309" s="503">
        <f t="shared" si="520"/>
        <v>0</v>
      </c>
      <c r="U309" s="503">
        <f t="shared" si="520"/>
        <v>834550</v>
      </c>
      <c r="V309" s="503">
        <f t="shared" si="520"/>
        <v>0</v>
      </c>
      <c r="W309" s="503">
        <f t="shared" si="520"/>
        <v>0</v>
      </c>
      <c r="X309" s="503">
        <f t="shared" si="520"/>
        <v>0</v>
      </c>
      <c r="Y309" s="503">
        <f t="shared" si="520"/>
        <v>0</v>
      </c>
      <c r="Z309" s="503">
        <f t="shared" si="520"/>
        <v>834550</v>
      </c>
      <c r="AA309" s="503">
        <f t="shared" si="520"/>
        <v>282077</v>
      </c>
      <c r="AB309" s="503">
        <f t="shared" si="520"/>
        <v>8345</v>
      </c>
      <c r="AC309" s="503">
        <f t="shared" si="520"/>
        <v>0</v>
      </c>
      <c r="AD309" s="891">
        <f t="shared" si="520"/>
        <v>1124972</v>
      </c>
      <c r="AE309" s="701">
        <f t="shared" si="520"/>
        <v>0</v>
      </c>
      <c r="AF309" s="701">
        <f t="shared" si="520"/>
        <v>1.7</v>
      </c>
      <c r="AG309" s="502">
        <f t="shared" si="520"/>
        <v>0</v>
      </c>
      <c r="AH309" s="502">
        <f t="shared" si="520"/>
        <v>0.2</v>
      </c>
      <c r="AI309" s="502">
        <f t="shared" si="520"/>
        <v>0</v>
      </c>
      <c r="AJ309" s="502">
        <f t="shared" si="520"/>
        <v>0</v>
      </c>
      <c r="AK309" s="630">
        <f t="shared" si="520"/>
        <v>1.9</v>
      </c>
      <c r="AL309" s="629">
        <f t="shared" si="520"/>
        <v>48724107</v>
      </c>
      <c r="AM309" s="503">
        <f t="shared" si="520"/>
        <v>36145481</v>
      </c>
      <c r="AN309" s="552">
        <f t="shared" si="520"/>
        <v>0</v>
      </c>
      <c r="AO309" s="503">
        <f t="shared" si="520"/>
        <v>12217172</v>
      </c>
      <c r="AP309" s="503">
        <f t="shared" si="520"/>
        <v>361454</v>
      </c>
      <c r="AQ309" s="503">
        <f t="shared" si="520"/>
        <v>0</v>
      </c>
      <c r="AR309" s="630">
        <f t="shared" si="520"/>
        <v>50.257600000000004</v>
      </c>
    </row>
    <row r="310" spans="1:44" ht="14.1" customHeight="1" x14ac:dyDescent="0.2">
      <c r="A310" s="499">
        <v>77</v>
      </c>
      <c r="B310" s="512">
        <v>2324</v>
      </c>
      <c r="C310" s="513">
        <v>600074030</v>
      </c>
      <c r="D310" s="512">
        <v>71013083</v>
      </c>
      <c r="E310" s="496" t="s">
        <v>782</v>
      </c>
      <c r="F310" s="522">
        <v>3111</v>
      </c>
      <c r="G310" s="511" t="s">
        <v>277</v>
      </c>
      <c r="H310" s="495" t="s">
        <v>262</v>
      </c>
      <c r="I310" s="627">
        <f t="shared" si="456"/>
        <v>11236474</v>
      </c>
      <c r="J310" s="14">
        <v>8335663</v>
      </c>
      <c r="K310" s="14">
        <v>2817454</v>
      </c>
      <c r="L310" s="14">
        <v>83357</v>
      </c>
      <c r="M310" s="14">
        <v>0</v>
      </c>
      <c r="N310" s="121">
        <v>14</v>
      </c>
      <c r="O310" s="696">
        <f t="shared" si="457"/>
        <v>0</v>
      </c>
      <c r="P310" s="492">
        <v>0</v>
      </c>
      <c r="Q310" s="492">
        <v>0</v>
      </c>
      <c r="R310" s="492">
        <v>0</v>
      </c>
      <c r="S310" s="492">
        <v>0</v>
      </c>
      <c r="T310" s="492">
        <v>0</v>
      </c>
      <c r="U310" s="492">
        <f>O310+P310+Q310+R310+S310+T310</f>
        <v>0</v>
      </c>
      <c r="V310" s="492">
        <v>0</v>
      </c>
      <c r="W310" s="492">
        <v>0</v>
      </c>
      <c r="X310" s="492">
        <v>0</v>
      </c>
      <c r="Y310" s="492">
        <f t="shared" ref="Y310:Y311" si="521">V310+W310+X310</f>
        <v>0</v>
      </c>
      <c r="Z310" s="492">
        <f t="shared" ref="Z310:Z311" si="522">U310+Y310</f>
        <v>0</v>
      </c>
      <c r="AA310" s="494">
        <f t="shared" ref="AA310:AA311" si="523">ROUND((U310+Y310)*33.8%,0)</f>
        <v>0</v>
      </c>
      <c r="AB310" s="494">
        <f>ROUND(U310*1%,0)</f>
        <v>0</v>
      </c>
      <c r="AC310" s="14">
        <v>0</v>
      </c>
      <c r="AD310" s="892">
        <f t="shared" si="463"/>
        <v>0</v>
      </c>
      <c r="AE310" s="702">
        <v>0</v>
      </c>
      <c r="AF310" s="702">
        <v>0</v>
      </c>
      <c r="AG310" s="491">
        <v>0</v>
      </c>
      <c r="AH310" s="491">
        <v>0</v>
      </c>
      <c r="AI310" s="491">
        <v>0</v>
      </c>
      <c r="AJ310" s="491">
        <v>0</v>
      </c>
      <c r="AK310" s="626">
        <f>SUM(AE310:AJ310)</f>
        <v>0</v>
      </c>
      <c r="AL310" s="696">
        <f>I310+AD310</f>
        <v>11236474</v>
      </c>
      <c r="AM310" s="492">
        <f>J310+U310</f>
        <v>8335663</v>
      </c>
      <c r="AN310" s="492">
        <f>Y310</f>
        <v>0</v>
      </c>
      <c r="AO310" s="492">
        <f t="shared" ref="AO310:AQ311" si="524">K310+AA310</f>
        <v>2817454</v>
      </c>
      <c r="AP310" s="492">
        <f t="shared" si="524"/>
        <v>83357</v>
      </c>
      <c r="AQ310" s="578">
        <f t="shared" si="524"/>
        <v>0</v>
      </c>
      <c r="AR310" s="626">
        <f>N310+AK310</f>
        <v>14</v>
      </c>
    </row>
    <row r="311" spans="1:44" ht="14.1" customHeight="1" x14ac:dyDescent="0.2">
      <c r="A311" s="499">
        <v>77</v>
      </c>
      <c r="B311" s="512">
        <v>2324</v>
      </c>
      <c r="C311" s="513">
        <v>600074030</v>
      </c>
      <c r="D311" s="512">
        <v>71013083</v>
      </c>
      <c r="E311" s="496" t="s">
        <v>782</v>
      </c>
      <c r="F311" s="522">
        <v>3111</v>
      </c>
      <c r="G311" s="514" t="s">
        <v>278</v>
      </c>
      <c r="H311" s="495" t="s">
        <v>263</v>
      </c>
      <c r="I311" s="627">
        <f t="shared" si="456"/>
        <v>0</v>
      </c>
      <c r="J311" s="490">
        <v>0</v>
      </c>
      <c r="K311" s="14">
        <v>0</v>
      </c>
      <c r="L311" s="14">
        <v>0</v>
      </c>
      <c r="M311" s="14">
        <v>0</v>
      </c>
      <c r="N311" s="682">
        <v>0</v>
      </c>
      <c r="O311" s="696">
        <f t="shared" si="457"/>
        <v>0</v>
      </c>
      <c r="P311" s="490">
        <v>2544921</v>
      </c>
      <c r="Q311" s="492">
        <v>0</v>
      </c>
      <c r="R311" s="492">
        <v>0</v>
      </c>
      <c r="S311" s="492">
        <v>0</v>
      </c>
      <c r="T311" s="492">
        <v>0</v>
      </c>
      <c r="U311" s="492">
        <f>O311+P311+Q311+R311+S311+T311</f>
        <v>2544921</v>
      </c>
      <c r="V311" s="492">
        <v>0</v>
      </c>
      <c r="W311" s="492">
        <v>0</v>
      </c>
      <c r="X311" s="492">
        <v>0</v>
      </c>
      <c r="Y311" s="492">
        <f t="shared" si="521"/>
        <v>0</v>
      </c>
      <c r="Z311" s="492">
        <f t="shared" si="522"/>
        <v>2544921</v>
      </c>
      <c r="AA311" s="494">
        <f t="shared" si="523"/>
        <v>860183</v>
      </c>
      <c r="AB311" s="494">
        <f>ROUND(U311*1%,0)</f>
        <v>25449</v>
      </c>
      <c r="AC311" s="14">
        <v>0</v>
      </c>
      <c r="AD311" s="892">
        <f t="shared" si="463"/>
        <v>3430553</v>
      </c>
      <c r="AE311" s="702">
        <v>0</v>
      </c>
      <c r="AF311" s="121">
        <v>6.64</v>
      </c>
      <c r="AG311" s="491">
        <v>0</v>
      </c>
      <c r="AH311" s="491">
        <v>0</v>
      </c>
      <c r="AI311" s="491">
        <v>0</v>
      </c>
      <c r="AJ311" s="491">
        <v>0</v>
      </c>
      <c r="AK311" s="626">
        <f>SUM(AE311:AJ311)</f>
        <v>6.64</v>
      </c>
      <c r="AL311" s="696">
        <f>I311+AD311</f>
        <v>3430553</v>
      </c>
      <c r="AM311" s="492">
        <f>J311+U311</f>
        <v>2544921</v>
      </c>
      <c r="AN311" s="492">
        <f>Y311</f>
        <v>0</v>
      </c>
      <c r="AO311" s="492">
        <f t="shared" si="524"/>
        <v>860183</v>
      </c>
      <c r="AP311" s="492">
        <f t="shared" si="524"/>
        <v>25449</v>
      </c>
      <c r="AQ311" s="578">
        <f t="shared" si="524"/>
        <v>0</v>
      </c>
      <c r="AR311" s="626">
        <f>N311+AK311</f>
        <v>6.64</v>
      </c>
    </row>
    <row r="312" spans="1:44" ht="14.1" customHeight="1" x14ac:dyDescent="0.2">
      <c r="A312" s="510">
        <v>77</v>
      </c>
      <c r="B312" s="508">
        <v>2324</v>
      </c>
      <c r="C312" s="509">
        <v>600074030</v>
      </c>
      <c r="D312" s="508">
        <v>71013083</v>
      </c>
      <c r="E312" s="521" t="s">
        <v>783</v>
      </c>
      <c r="F312" s="510"/>
      <c r="G312" s="506"/>
      <c r="H312" s="505"/>
      <c r="I312" s="629">
        <f t="shared" ref="I312:N312" si="525">SUM(I310:I311)</f>
        <v>11236474</v>
      </c>
      <c r="J312" s="504">
        <f t="shared" si="525"/>
        <v>8335663</v>
      </c>
      <c r="K312" s="504">
        <f t="shared" si="525"/>
        <v>2817454</v>
      </c>
      <c r="L312" s="504">
        <f t="shared" si="525"/>
        <v>83357</v>
      </c>
      <c r="M312" s="504">
        <f t="shared" si="525"/>
        <v>0</v>
      </c>
      <c r="N312" s="885">
        <f t="shared" si="525"/>
        <v>14</v>
      </c>
      <c r="O312" s="629">
        <f t="shared" ref="O312:AR312" si="526">SUM(O310:O311)</f>
        <v>0</v>
      </c>
      <c r="P312" s="503">
        <f t="shared" si="526"/>
        <v>2544921</v>
      </c>
      <c r="Q312" s="503">
        <f t="shared" si="526"/>
        <v>0</v>
      </c>
      <c r="R312" s="503">
        <f t="shared" si="526"/>
        <v>0</v>
      </c>
      <c r="S312" s="503">
        <f t="shared" si="526"/>
        <v>0</v>
      </c>
      <c r="T312" s="503">
        <f t="shared" si="526"/>
        <v>0</v>
      </c>
      <c r="U312" s="503">
        <f t="shared" si="526"/>
        <v>2544921</v>
      </c>
      <c r="V312" s="503">
        <f t="shared" si="526"/>
        <v>0</v>
      </c>
      <c r="W312" s="503">
        <f t="shared" si="526"/>
        <v>0</v>
      </c>
      <c r="X312" s="503">
        <f t="shared" si="526"/>
        <v>0</v>
      </c>
      <c r="Y312" s="503">
        <f t="shared" si="526"/>
        <v>0</v>
      </c>
      <c r="Z312" s="503">
        <f t="shared" si="526"/>
        <v>2544921</v>
      </c>
      <c r="AA312" s="503">
        <f t="shared" si="526"/>
        <v>860183</v>
      </c>
      <c r="AB312" s="503">
        <f t="shared" si="526"/>
        <v>25449</v>
      </c>
      <c r="AC312" s="503">
        <f t="shared" si="526"/>
        <v>0</v>
      </c>
      <c r="AD312" s="891">
        <f t="shared" si="526"/>
        <v>3430553</v>
      </c>
      <c r="AE312" s="701">
        <f t="shared" si="526"/>
        <v>0</v>
      </c>
      <c r="AF312" s="701">
        <f t="shared" si="526"/>
        <v>6.64</v>
      </c>
      <c r="AG312" s="502">
        <f t="shared" si="526"/>
        <v>0</v>
      </c>
      <c r="AH312" s="502">
        <f t="shared" si="526"/>
        <v>0</v>
      </c>
      <c r="AI312" s="502">
        <f t="shared" si="526"/>
        <v>0</v>
      </c>
      <c r="AJ312" s="502">
        <f t="shared" si="526"/>
        <v>0</v>
      </c>
      <c r="AK312" s="630">
        <f t="shared" si="526"/>
        <v>6.64</v>
      </c>
      <c r="AL312" s="629">
        <f t="shared" si="526"/>
        <v>14667027</v>
      </c>
      <c r="AM312" s="503">
        <f t="shared" si="526"/>
        <v>10880584</v>
      </c>
      <c r="AN312" s="552">
        <f t="shared" si="526"/>
        <v>0</v>
      </c>
      <c r="AO312" s="503">
        <f t="shared" si="526"/>
        <v>3677637</v>
      </c>
      <c r="AP312" s="503">
        <f t="shared" si="526"/>
        <v>108806</v>
      </c>
      <c r="AQ312" s="503">
        <f t="shared" si="526"/>
        <v>0</v>
      </c>
      <c r="AR312" s="630">
        <f t="shared" si="526"/>
        <v>20.64</v>
      </c>
    </row>
    <row r="313" spans="1:44" ht="14.1" customHeight="1" x14ac:dyDescent="0.2">
      <c r="A313" s="499">
        <v>78</v>
      </c>
      <c r="B313" s="512">
        <v>2325</v>
      </c>
      <c r="C313" s="513">
        <v>600074561</v>
      </c>
      <c r="D313" s="512">
        <v>46750321</v>
      </c>
      <c r="E313" s="511" t="s">
        <v>668</v>
      </c>
      <c r="F313" s="499">
        <v>3113</v>
      </c>
      <c r="G313" s="511" t="s">
        <v>280</v>
      </c>
      <c r="H313" s="495" t="s">
        <v>262</v>
      </c>
      <c r="I313" s="627">
        <f t="shared" si="456"/>
        <v>25516113</v>
      </c>
      <c r="J313" s="14">
        <v>18928867</v>
      </c>
      <c r="K313" s="14">
        <v>6397957</v>
      </c>
      <c r="L313" s="14">
        <v>189289</v>
      </c>
      <c r="M313" s="14">
        <v>0</v>
      </c>
      <c r="N313" s="121">
        <v>26.2727</v>
      </c>
      <c r="O313" s="696">
        <f t="shared" si="457"/>
        <v>0</v>
      </c>
      <c r="P313" s="492">
        <v>0</v>
      </c>
      <c r="Q313" s="492">
        <v>22240</v>
      </c>
      <c r="R313" s="492">
        <v>0</v>
      </c>
      <c r="S313" s="492">
        <v>0</v>
      </c>
      <c r="T313" s="492">
        <v>0</v>
      </c>
      <c r="U313" s="492">
        <f>O313+P313+Q313+R313+S313+T313</f>
        <v>22240</v>
      </c>
      <c r="V313" s="492">
        <v>0</v>
      </c>
      <c r="W313" s="492">
        <v>0</v>
      </c>
      <c r="X313" s="492">
        <v>0</v>
      </c>
      <c r="Y313" s="492">
        <f t="shared" ref="Y313:Y317" si="527">V313+W313+X313</f>
        <v>0</v>
      </c>
      <c r="Z313" s="492">
        <f t="shared" ref="Z313:Z317" si="528">U313+Y313</f>
        <v>22240</v>
      </c>
      <c r="AA313" s="494">
        <f t="shared" ref="AA313:AA317" si="529">ROUND((U313+Y313)*33.8%,0)</f>
        <v>7517</v>
      </c>
      <c r="AB313" s="494">
        <f t="shared" ref="AB313:AB317" si="530">ROUND(U313*1%,0)</f>
        <v>222</v>
      </c>
      <c r="AC313" s="14">
        <v>0</v>
      </c>
      <c r="AD313" s="892">
        <f t="shared" si="463"/>
        <v>29979</v>
      </c>
      <c r="AE313" s="702">
        <v>0</v>
      </c>
      <c r="AF313" s="702">
        <v>0</v>
      </c>
      <c r="AG313" s="491">
        <v>0</v>
      </c>
      <c r="AH313" s="491">
        <v>0.03</v>
      </c>
      <c r="AI313" s="491">
        <v>0</v>
      </c>
      <c r="AJ313" s="491">
        <v>0</v>
      </c>
      <c r="AK313" s="626">
        <f>SUM(AE313:AJ313)</f>
        <v>0.03</v>
      </c>
      <c r="AL313" s="696">
        <f>I313+AD313</f>
        <v>25546092</v>
      </c>
      <c r="AM313" s="492">
        <f>J313+U313</f>
        <v>18951107</v>
      </c>
      <c r="AN313" s="492">
        <f>Y313</f>
        <v>0</v>
      </c>
      <c r="AO313" s="492">
        <f t="shared" ref="AO313:AQ317" si="531">K313+AA313</f>
        <v>6405474</v>
      </c>
      <c r="AP313" s="492">
        <f t="shared" si="531"/>
        <v>189511</v>
      </c>
      <c r="AQ313" s="578">
        <f t="shared" si="531"/>
        <v>0</v>
      </c>
      <c r="AR313" s="626">
        <f>N313+AK313</f>
        <v>26.302700000000002</v>
      </c>
    </row>
    <row r="314" spans="1:44" ht="14.1" customHeight="1" x14ac:dyDescent="0.2">
      <c r="A314" s="499">
        <v>78</v>
      </c>
      <c r="B314" s="512">
        <v>2325</v>
      </c>
      <c r="C314" s="513">
        <v>600074561</v>
      </c>
      <c r="D314" s="512">
        <v>46750321</v>
      </c>
      <c r="E314" s="511" t="s">
        <v>668</v>
      </c>
      <c r="F314" s="499">
        <v>3113</v>
      </c>
      <c r="G314" s="511" t="s">
        <v>799</v>
      </c>
      <c r="H314" s="495" t="s">
        <v>262</v>
      </c>
      <c r="I314" s="627">
        <f t="shared" si="456"/>
        <v>634036</v>
      </c>
      <c r="J314" s="14">
        <v>470353</v>
      </c>
      <c r="K314" s="14">
        <v>158979</v>
      </c>
      <c r="L314" s="14">
        <v>4704</v>
      </c>
      <c r="M314" s="14">
        <v>0</v>
      </c>
      <c r="N314" s="121">
        <v>0.95</v>
      </c>
      <c r="O314" s="696">
        <f t="shared" si="457"/>
        <v>0</v>
      </c>
      <c r="P314" s="492">
        <v>0</v>
      </c>
      <c r="Q314" s="492">
        <v>0</v>
      </c>
      <c r="R314" s="492">
        <v>0</v>
      </c>
      <c r="S314" s="492">
        <v>0</v>
      </c>
      <c r="T314" s="492">
        <v>0</v>
      </c>
      <c r="U314" s="492">
        <f>O314+P314+Q314+R314+S314+T314</f>
        <v>0</v>
      </c>
      <c r="V314" s="492">
        <v>0</v>
      </c>
      <c r="W314" s="492">
        <v>0</v>
      </c>
      <c r="X314" s="492">
        <v>0</v>
      </c>
      <c r="Y314" s="492">
        <f t="shared" ref="Y314" si="532">V314+W314+X314</f>
        <v>0</v>
      </c>
      <c r="Z314" s="492">
        <f t="shared" ref="Z314" si="533">U314+Y314</f>
        <v>0</v>
      </c>
      <c r="AA314" s="494">
        <f t="shared" ref="AA314" si="534">ROUND((U314+Y314)*33.8%,0)</f>
        <v>0</v>
      </c>
      <c r="AB314" s="494">
        <f t="shared" ref="AB314" si="535">ROUND(U314*1%,0)</f>
        <v>0</v>
      </c>
      <c r="AC314" s="14">
        <v>0</v>
      </c>
      <c r="AD314" s="892">
        <f t="shared" si="463"/>
        <v>0</v>
      </c>
      <c r="AE314" s="702">
        <v>0</v>
      </c>
      <c r="AF314" s="702">
        <v>0</v>
      </c>
      <c r="AG314" s="491">
        <v>0</v>
      </c>
      <c r="AH314" s="491">
        <v>0</v>
      </c>
      <c r="AI314" s="491">
        <v>0</v>
      </c>
      <c r="AJ314" s="491">
        <v>0</v>
      </c>
      <c r="AK314" s="626">
        <f>SUM(AE314:AJ314)</f>
        <v>0</v>
      </c>
      <c r="AL314" s="696">
        <f>I314+AD314</f>
        <v>634036</v>
      </c>
      <c r="AM314" s="492">
        <f>J314+U314</f>
        <v>470353</v>
      </c>
      <c r="AN314" s="492">
        <f>Y314</f>
        <v>0</v>
      </c>
      <c r="AO314" s="492">
        <f t="shared" si="531"/>
        <v>158979</v>
      </c>
      <c r="AP314" s="492">
        <f t="shared" si="531"/>
        <v>4704</v>
      </c>
      <c r="AQ314" s="578">
        <f t="shared" si="531"/>
        <v>0</v>
      </c>
      <c r="AR314" s="626">
        <f>N314+AK314</f>
        <v>0.95</v>
      </c>
    </row>
    <row r="315" spans="1:44" ht="14.1" customHeight="1" x14ac:dyDescent="0.2">
      <c r="A315" s="499">
        <v>78</v>
      </c>
      <c r="B315" s="512">
        <v>2325</v>
      </c>
      <c r="C315" s="513">
        <v>600074561</v>
      </c>
      <c r="D315" s="512">
        <v>46750321</v>
      </c>
      <c r="E315" s="511" t="s">
        <v>668</v>
      </c>
      <c r="F315" s="499">
        <v>3113</v>
      </c>
      <c r="G315" s="514" t="s">
        <v>278</v>
      </c>
      <c r="H315" s="495" t="s">
        <v>263</v>
      </c>
      <c r="I315" s="627">
        <f t="shared" si="456"/>
        <v>0</v>
      </c>
      <c r="J315" s="490">
        <v>0</v>
      </c>
      <c r="K315" s="14">
        <v>0</v>
      </c>
      <c r="L315" s="14">
        <v>0</v>
      </c>
      <c r="M315" s="14">
        <v>0</v>
      </c>
      <c r="N315" s="682">
        <v>0</v>
      </c>
      <c r="O315" s="696">
        <f t="shared" si="457"/>
        <v>0</v>
      </c>
      <c r="P315" s="490">
        <v>2621637</v>
      </c>
      <c r="Q315" s="492">
        <v>0</v>
      </c>
      <c r="R315" s="492">
        <v>0</v>
      </c>
      <c r="S315" s="492">
        <v>0</v>
      </c>
      <c r="T315" s="492">
        <v>0</v>
      </c>
      <c r="U315" s="492">
        <f>O315+P315+Q315+R315+S315+T315</f>
        <v>2621637</v>
      </c>
      <c r="V315" s="492">
        <v>0</v>
      </c>
      <c r="W315" s="492">
        <v>0</v>
      </c>
      <c r="X315" s="492">
        <v>0</v>
      </c>
      <c r="Y315" s="492">
        <f t="shared" si="527"/>
        <v>0</v>
      </c>
      <c r="Z315" s="492">
        <f t="shared" si="528"/>
        <v>2621637</v>
      </c>
      <c r="AA315" s="494">
        <f t="shared" si="529"/>
        <v>886113</v>
      </c>
      <c r="AB315" s="494">
        <f t="shared" si="530"/>
        <v>26216</v>
      </c>
      <c r="AC315" s="14">
        <v>0</v>
      </c>
      <c r="AD315" s="892">
        <f t="shared" si="463"/>
        <v>3533966</v>
      </c>
      <c r="AE315" s="702">
        <v>0</v>
      </c>
      <c r="AF315" s="121">
        <v>6.49</v>
      </c>
      <c r="AG315" s="491">
        <v>0</v>
      </c>
      <c r="AH315" s="491">
        <v>0</v>
      </c>
      <c r="AI315" s="491">
        <v>0</v>
      </c>
      <c r="AJ315" s="491">
        <v>0</v>
      </c>
      <c r="AK315" s="626">
        <f>SUM(AE315:AJ315)</f>
        <v>6.49</v>
      </c>
      <c r="AL315" s="696">
        <f>I315+AD315</f>
        <v>3533966</v>
      </c>
      <c r="AM315" s="492">
        <f>J315+U315</f>
        <v>2621637</v>
      </c>
      <c r="AN315" s="492">
        <f>Y315</f>
        <v>0</v>
      </c>
      <c r="AO315" s="492">
        <f t="shared" si="531"/>
        <v>886113</v>
      </c>
      <c r="AP315" s="492">
        <f t="shared" si="531"/>
        <v>26216</v>
      </c>
      <c r="AQ315" s="578">
        <f t="shared" si="531"/>
        <v>0</v>
      </c>
      <c r="AR315" s="626">
        <f>N315+AK315</f>
        <v>6.49</v>
      </c>
    </row>
    <row r="316" spans="1:44" ht="14.1" customHeight="1" x14ac:dyDescent="0.2">
      <c r="A316" s="499">
        <v>78</v>
      </c>
      <c r="B316" s="512">
        <v>2325</v>
      </c>
      <c r="C316" s="513">
        <v>600074561</v>
      </c>
      <c r="D316" s="512">
        <v>46750321</v>
      </c>
      <c r="E316" s="511" t="s">
        <v>668</v>
      </c>
      <c r="F316" s="499">
        <v>3143</v>
      </c>
      <c r="G316" s="514" t="s">
        <v>794</v>
      </c>
      <c r="H316" s="495" t="s">
        <v>262</v>
      </c>
      <c r="I316" s="627">
        <f t="shared" si="456"/>
        <v>2923313</v>
      </c>
      <c r="J316" s="14">
        <v>2168630</v>
      </c>
      <c r="K316" s="14">
        <v>732997</v>
      </c>
      <c r="L316" s="14">
        <v>21686</v>
      </c>
      <c r="M316" s="14">
        <v>0</v>
      </c>
      <c r="N316" s="121">
        <v>4.5</v>
      </c>
      <c r="O316" s="696">
        <f t="shared" si="457"/>
        <v>-30000</v>
      </c>
      <c r="P316" s="492">
        <v>0</v>
      </c>
      <c r="Q316" s="492">
        <v>0</v>
      </c>
      <c r="R316" s="492">
        <v>0</v>
      </c>
      <c r="S316" s="492">
        <v>0</v>
      </c>
      <c r="T316" s="492">
        <v>0</v>
      </c>
      <c r="U316" s="492">
        <f>O316+P316+Q316+R316+S316+T316</f>
        <v>-30000</v>
      </c>
      <c r="V316" s="492">
        <v>30000</v>
      </c>
      <c r="W316" s="492">
        <v>0</v>
      </c>
      <c r="X316" s="492">
        <v>0</v>
      </c>
      <c r="Y316" s="492">
        <f t="shared" si="527"/>
        <v>30000</v>
      </c>
      <c r="Z316" s="492">
        <f t="shared" si="528"/>
        <v>0</v>
      </c>
      <c r="AA316" s="494">
        <f t="shared" si="529"/>
        <v>0</v>
      </c>
      <c r="AB316" s="494">
        <f t="shared" si="530"/>
        <v>-300</v>
      </c>
      <c r="AC316" s="14">
        <v>0</v>
      </c>
      <c r="AD316" s="892">
        <f t="shared" si="463"/>
        <v>-300</v>
      </c>
      <c r="AE316" s="702">
        <v>0</v>
      </c>
      <c r="AF316" s="702">
        <v>0</v>
      </c>
      <c r="AG316" s="491">
        <v>0</v>
      </c>
      <c r="AH316" s="491">
        <v>0</v>
      </c>
      <c r="AI316" s="491">
        <v>0</v>
      </c>
      <c r="AJ316" s="491">
        <v>0</v>
      </c>
      <c r="AK316" s="626">
        <f>SUM(AE316:AJ316)</f>
        <v>0</v>
      </c>
      <c r="AL316" s="696">
        <f>I316+AD316</f>
        <v>2923013</v>
      </c>
      <c r="AM316" s="492">
        <f>J316+U316</f>
        <v>2138630</v>
      </c>
      <c r="AN316" s="492">
        <f>Y316</f>
        <v>30000</v>
      </c>
      <c r="AO316" s="492">
        <f t="shared" si="531"/>
        <v>732997</v>
      </c>
      <c r="AP316" s="492">
        <f t="shared" si="531"/>
        <v>21386</v>
      </c>
      <c r="AQ316" s="578">
        <f t="shared" si="531"/>
        <v>0</v>
      </c>
      <c r="AR316" s="626">
        <f>N316+AK316</f>
        <v>4.5</v>
      </c>
    </row>
    <row r="317" spans="1:44" ht="14.1" customHeight="1" x14ac:dyDescent="0.2">
      <c r="A317" s="499">
        <v>78</v>
      </c>
      <c r="B317" s="512">
        <v>2325</v>
      </c>
      <c r="C317" s="513">
        <v>600074561</v>
      </c>
      <c r="D317" s="512">
        <v>46750321</v>
      </c>
      <c r="E317" s="511" t="s">
        <v>668</v>
      </c>
      <c r="F317" s="499">
        <v>3231</v>
      </c>
      <c r="G317" s="511" t="s">
        <v>281</v>
      </c>
      <c r="H317" s="495" t="s">
        <v>262</v>
      </c>
      <c r="I317" s="627">
        <f t="shared" si="456"/>
        <v>3663369</v>
      </c>
      <c r="J317" s="14">
        <v>2717633</v>
      </c>
      <c r="K317" s="14">
        <v>918560</v>
      </c>
      <c r="L317" s="14">
        <v>27176</v>
      </c>
      <c r="M317" s="14">
        <v>0</v>
      </c>
      <c r="N317" s="682">
        <v>4.0281000000000002</v>
      </c>
      <c r="O317" s="696">
        <f t="shared" si="457"/>
        <v>0</v>
      </c>
      <c r="P317" s="492">
        <v>0</v>
      </c>
      <c r="Q317" s="492">
        <v>0</v>
      </c>
      <c r="R317" s="492">
        <v>0</v>
      </c>
      <c r="S317" s="492">
        <v>0</v>
      </c>
      <c r="T317" s="492">
        <v>0</v>
      </c>
      <c r="U317" s="492">
        <f>O317+P317+Q317+R317+S317+T317</f>
        <v>0</v>
      </c>
      <c r="V317" s="492">
        <v>0</v>
      </c>
      <c r="W317" s="492">
        <v>0</v>
      </c>
      <c r="X317" s="492">
        <v>0</v>
      </c>
      <c r="Y317" s="492">
        <f t="shared" si="527"/>
        <v>0</v>
      </c>
      <c r="Z317" s="492">
        <f t="shared" si="528"/>
        <v>0</v>
      </c>
      <c r="AA317" s="494">
        <f t="shared" si="529"/>
        <v>0</v>
      </c>
      <c r="AB317" s="494">
        <f t="shared" si="530"/>
        <v>0</v>
      </c>
      <c r="AC317" s="14">
        <v>0</v>
      </c>
      <c r="AD317" s="892">
        <f t="shared" si="463"/>
        <v>0</v>
      </c>
      <c r="AE317" s="702">
        <v>0</v>
      </c>
      <c r="AF317" s="702">
        <v>0</v>
      </c>
      <c r="AG317" s="491">
        <v>0</v>
      </c>
      <c r="AH317" s="491">
        <v>0</v>
      </c>
      <c r="AI317" s="491">
        <v>0</v>
      </c>
      <c r="AJ317" s="491">
        <v>0</v>
      </c>
      <c r="AK317" s="626">
        <f>SUM(AE317:AJ317)</f>
        <v>0</v>
      </c>
      <c r="AL317" s="696">
        <f>I317+AD317</f>
        <v>3663369</v>
      </c>
      <c r="AM317" s="492">
        <f>J317+U317</f>
        <v>2717633</v>
      </c>
      <c r="AN317" s="492">
        <f>Y317</f>
        <v>0</v>
      </c>
      <c r="AO317" s="492">
        <f t="shared" si="531"/>
        <v>918560</v>
      </c>
      <c r="AP317" s="492">
        <f t="shared" si="531"/>
        <v>27176</v>
      </c>
      <c r="AQ317" s="578">
        <f t="shared" si="531"/>
        <v>0</v>
      </c>
      <c r="AR317" s="626">
        <f>N317+AK317</f>
        <v>4.0281000000000002</v>
      </c>
    </row>
    <row r="318" spans="1:44" ht="14.1" customHeight="1" x14ac:dyDescent="0.2">
      <c r="A318" s="510">
        <v>78</v>
      </c>
      <c r="B318" s="508">
        <v>2325</v>
      </c>
      <c r="C318" s="509">
        <v>600074561</v>
      </c>
      <c r="D318" s="508">
        <v>46750321</v>
      </c>
      <c r="E318" s="506" t="s">
        <v>669</v>
      </c>
      <c r="F318" s="510"/>
      <c r="G318" s="506"/>
      <c r="H318" s="505"/>
      <c r="I318" s="632">
        <f t="shared" ref="I318:AR318" si="536">SUM(I313:I317)</f>
        <v>32736831</v>
      </c>
      <c r="J318" s="520">
        <f t="shared" si="536"/>
        <v>24285483</v>
      </c>
      <c r="K318" s="520">
        <f t="shared" si="536"/>
        <v>8208493</v>
      </c>
      <c r="L318" s="520">
        <f t="shared" si="536"/>
        <v>242855</v>
      </c>
      <c r="M318" s="520">
        <f t="shared" si="536"/>
        <v>0</v>
      </c>
      <c r="N318" s="886">
        <f t="shared" si="536"/>
        <v>35.750799999999998</v>
      </c>
      <c r="O318" s="632">
        <f t="shared" si="536"/>
        <v>-30000</v>
      </c>
      <c r="P318" s="519">
        <f t="shared" si="536"/>
        <v>2621637</v>
      </c>
      <c r="Q318" s="519">
        <f t="shared" si="536"/>
        <v>22240</v>
      </c>
      <c r="R318" s="519">
        <f t="shared" si="536"/>
        <v>0</v>
      </c>
      <c r="S318" s="519">
        <f t="shared" si="536"/>
        <v>0</v>
      </c>
      <c r="T318" s="519">
        <f t="shared" si="536"/>
        <v>0</v>
      </c>
      <c r="U318" s="519">
        <f t="shared" si="536"/>
        <v>2613877</v>
      </c>
      <c r="V318" s="519">
        <f t="shared" si="536"/>
        <v>30000</v>
      </c>
      <c r="W318" s="519">
        <f t="shared" si="536"/>
        <v>0</v>
      </c>
      <c r="X318" s="519">
        <f t="shared" si="536"/>
        <v>0</v>
      </c>
      <c r="Y318" s="519">
        <f t="shared" si="536"/>
        <v>30000</v>
      </c>
      <c r="Z318" s="519">
        <f t="shared" si="536"/>
        <v>2643877</v>
      </c>
      <c r="AA318" s="519">
        <f t="shared" si="536"/>
        <v>893630</v>
      </c>
      <c r="AB318" s="519">
        <f t="shared" si="536"/>
        <v>26138</v>
      </c>
      <c r="AC318" s="519">
        <f t="shared" si="536"/>
        <v>0</v>
      </c>
      <c r="AD318" s="893">
        <f t="shared" si="536"/>
        <v>3563645</v>
      </c>
      <c r="AE318" s="704">
        <f t="shared" si="536"/>
        <v>0</v>
      </c>
      <c r="AF318" s="704">
        <f t="shared" si="536"/>
        <v>6.49</v>
      </c>
      <c r="AG318" s="518">
        <f t="shared" si="536"/>
        <v>0</v>
      </c>
      <c r="AH318" s="518">
        <f t="shared" si="536"/>
        <v>0.03</v>
      </c>
      <c r="AI318" s="518">
        <f t="shared" si="536"/>
        <v>0</v>
      </c>
      <c r="AJ318" s="518">
        <f t="shared" si="536"/>
        <v>0</v>
      </c>
      <c r="AK318" s="633">
        <f t="shared" si="536"/>
        <v>6.5200000000000005</v>
      </c>
      <c r="AL318" s="632">
        <f t="shared" si="536"/>
        <v>36300476</v>
      </c>
      <c r="AM318" s="519">
        <f t="shared" si="536"/>
        <v>26899360</v>
      </c>
      <c r="AN318" s="553">
        <f t="shared" si="536"/>
        <v>30000</v>
      </c>
      <c r="AO318" s="519">
        <f t="shared" si="536"/>
        <v>9102123</v>
      </c>
      <c r="AP318" s="519">
        <f t="shared" si="536"/>
        <v>268993</v>
      </c>
      <c r="AQ318" s="519">
        <f t="shared" si="536"/>
        <v>0</v>
      </c>
      <c r="AR318" s="633">
        <f t="shared" si="536"/>
        <v>42.270800000000001</v>
      </c>
    </row>
    <row r="319" spans="1:44" ht="14.1" customHeight="1" x14ac:dyDescent="0.2">
      <c r="A319" s="499">
        <v>79</v>
      </c>
      <c r="B319" s="512">
        <v>2329</v>
      </c>
      <c r="C319" s="513">
        <v>691007331</v>
      </c>
      <c r="D319" s="512">
        <v>71294171</v>
      </c>
      <c r="E319" s="511" t="s">
        <v>736</v>
      </c>
      <c r="F319" s="499">
        <v>3114</v>
      </c>
      <c r="G319" s="117" t="s">
        <v>511</v>
      </c>
      <c r="H319" s="495" t="s">
        <v>262</v>
      </c>
      <c r="I319" s="627">
        <f t="shared" si="456"/>
        <v>7431414</v>
      </c>
      <c r="J319" s="14">
        <v>5512917</v>
      </c>
      <c r="K319" s="14">
        <v>1863367</v>
      </c>
      <c r="L319" s="14">
        <v>55130</v>
      </c>
      <c r="M319" s="14">
        <v>0</v>
      </c>
      <c r="N319" s="121">
        <v>6.9090999999999996</v>
      </c>
      <c r="O319" s="696">
        <f t="shared" si="457"/>
        <v>0</v>
      </c>
      <c r="P319" s="492">
        <v>0</v>
      </c>
      <c r="Q319" s="492">
        <v>0</v>
      </c>
      <c r="R319" s="492">
        <v>0</v>
      </c>
      <c r="S319" s="492">
        <v>0</v>
      </c>
      <c r="T319" s="492">
        <v>0</v>
      </c>
      <c r="U319" s="492">
        <f>O319+P319+Q319+R319+S319+T319</f>
        <v>0</v>
      </c>
      <c r="V319" s="492">
        <v>0</v>
      </c>
      <c r="W319" s="492">
        <v>0</v>
      </c>
      <c r="X319" s="492">
        <v>0</v>
      </c>
      <c r="Y319" s="492">
        <f t="shared" ref="Y319:Y322" si="537">V319+W319+X319</f>
        <v>0</v>
      </c>
      <c r="Z319" s="492">
        <f t="shared" ref="Z319:Z322" si="538">U319+Y319</f>
        <v>0</v>
      </c>
      <c r="AA319" s="494">
        <f t="shared" ref="AA319:AA322" si="539">ROUND((U319+Y319)*33.8%,0)</f>
        <v>0</v>
      </c>
      <c r="AB319" s="494">
        <f t="shared" ref="AB319:AB322" si="540">ROUND(U319*1%,0)</f>
        <v>0</v>
      </c>
      <c r="AC319" s="14">
        <v>0</v>
      </c>
      <c r="AD319" s="892">
        <f t="shared" si="463"/>
        <v>0</v>
      </c>
      <c r="AE319" s="702">
        <v>0</v>
      </c>
      <c r="AF319" s="702">
        <v>0</v>
      </c>
      <c r="AG319" s="491">
        <v>0</v>
      </c>
      <c r="AH319" s="491">
        <v>0</v>
      </c>
      <c r="AI319" s="491">
        <v>0</v>
      </c>
      <c r="AJ319" s="491">
        <v>0</v>
      </c>
      <c r="AK319" s="626">
        <f>SUM(AE319:AJ319)</f>
        <v>0</v>
      </c>
      <c r="AL319" s="696">
        <f>I319+AD319</f>
        <v>7431414</v>
      </c>
      <c r="AM319" s="492">
        <f>J319+U319</f>
        <v>5512917</v>
      </c>
      <c r="AN319" s="492">
        <f>Y319</f>
        <v>0</v>
      </c>
      <c r="AO319" s="492">
        <f t="shared" ref="AO319:AQ322" si="541">K319+AA319</f>
        <v>1863367</v>
      </c>
      <c r="AP319" s="492">
        <f t="shared" si="541"/>
        <v>55130</v>
      </c>
      <c r="AQ319" s="578">
        <f t="shared" si="541"/>
        <v>0</v>
      </c>
      <c r="AR319" s="626">
        <f>N319+AK319</f>
        <v>6.9090999999999996</v>
      </c>
    </row>
    <row r="320" spans="1:44" ht="14.1" customHeight="1" x14ac:dyDescent="0.2">
      <c r="A320" s="499">
        <v>79</v>
      </c>
      <c r="B320" s="512">
        <v>2329</v>
      </c>
      <c r="C320" s="513">
        <v>691007331</v>
      </c>
      <c r="D320" s="512">
        <v>71294171</v>
      </c>
      <c r="E320" s="511" t="s">
        <v>736</v>
      </c>
      <c r="F320" s="499">
        <v>3114</v>
      </c>
      <c r="G320" s="39" t="s">
        <v>279</v>
      </c>
      <c r="H320" s="495" t="s">
        <v>262</v>
      </c>
      <c r="I320" s="627">
        <f t="shared" si="456"/>
        <v>1722888</v>
      </c>
      <c r="J320" s="14">
        <v>1278107</v>
      </c>
      <c r="K320" s="14">
        <v>432000</v>
      </c>
      <c r="L320" s="14">
        <v>12781</v>
      </c>
      <c r="M320" s="14">
        <v>0</v>
      </c>
      <c r="N320" s="121">
        <v>2.9167000000000001</v>
      </c>
      <c r="O320" s="696">
        <f t="shared" si="457"/>
        <v>0</v>
      </c>
      <c r="P320" s="492">
        <v>0</v>
      </c>
      <c r="Q320" s="492">
        <v>0</v>
      </c>
      <c r="R320" s="492">
        <v>0</v>
      </c>
      <c r="S320" s="492">
        <v>0</v>
      </c>
      <c r="T320" s="492">
        <v>0</v>
      </c>
      <c r="U320" s="492">
        <f>O320+P320+Q320+R320+S320+T320</f>
        <v>0</v>
      </c>
      <c r="V320" s="492">
        <v>0</v>
      </c>
      <c r="W320" s="492">
        <v>0</v>
      </c>
      <c r="X320" s="492">
        <v>0</v>
      </c>
      <c r="Y320" s="492">
        <f t="shared" si="537"/>
        <v>0</v>
      </c>
      <c r="Z320" s="492">
        <f t="shared" si="538"/>
        <v>0</v>
      </c>
      <c r="AA320" s="494">
        <f t="shared" si="539"/>
        <v>0</v>
      </c>
      <c r="AB320" s="494">
        <f t="shared" si="540"/>
        <v>0</v>
      </c>
      <c r="AC320" s="14">
        <v>0</v>
      </c>
      <c r="AD320" s="892">
        <f t="shared" si="463"/>
        <v>0</v>
      </c>
      <c r="AE320" s="702">
        <v>0</v>
      </c>
      <c r="AF320" s="702">
        <v>0</v>
      </c>
      <c r="AG320" s="491">
        <v>0</v>
      </c>
      <c r="AH320" s="491">
        <v>0</v>
      </c>
      <c r="AI320" s="491">
        <v>0</v>
      </c>
      <c r="AJ320" s="491">
        <v>0</v>
      </c>
      <c r="AK320" s="626">
        <f>SUM(AE320:AJ320)</f>
        <v>0</v>
      </c>
      <c r="AL320" s="696">
        <f>I320+AD320</f>
        <v>1722888</v>
      </c>
      <c r="AM320" s="492">
        <f>J320+U320</f>
        <v>1278107</v>
      </c>
      <c r="AN320" s="492">
        <f>Y320</f>
        <v>0</v>
      </c>
      <c r="AO320" s="492">
        <f t="shared" si="541"/>
        <v>432000</v>
      </c>
      <c r="AP320" s="492">
        <f t="shared" si="541"/>
        <v>12781</v>
      </c>
      <c r="AQ320" s="578">
        <f t="shared" si="541"/>
        <v>0</v>
      </c>
      <c r="AR320" s="626">
        <f>N320+AK320</f>
        <v>2.9167000000000001</v>
      </c>
    </row>
    <row r="321" spans="1:44" ht="14.1" customHeight="1" x14ac:dyDescent="0.2">
      <c r="A321" s="499">
        <v>79</v>
      </c>
      <c r="B321" s="512">
        <v>2329</v>
      </c>
      <c r="C321" s="513">
        <v>691007331</v>
      </c>
      <c r="D321" s="512">
        <v>71294171</v>
      </c>
      <c r="E321" s="511" t="s">
        <v>736</v>
      </c>
      <c r="F321" s="499">
        <v>3114</v>
      </c>
      <c r="G321" s="514" t="s">
        <v>278</v>
      </c>
      <c r="H321" s="495" t="s">
        <v>263</v>
      </c>
      <c r="I321" s="627">
        <f t="shared" si="456"/>
        <v>0</v>
      </c>
      <c r="J321" s="490">
        <v>0</v>
      </c>
      <c r="K321" s="14">
        <v>0</v>
      </c>
      <c r="L321" s="14">
        <v>0</v>
      </c>
      <c r="M321" s="14">
        <v>0</v>
      </c>
      <c r="N321" s="682">
        <v>0</v>
      </c>
      <c r="O321" s="696">
        <f t="shared" si="457"/>
        <v>0</v>
      </c>
      <c r="P321" s="492">
        <v>0</v>
      </c>
      <c r="Q321" s="492">
        <v>0</v>
      </c>
      <c r="R321" s="492">
        <v>0</v>
      </c>
      <c r="S321" s="492">
        <v>0</v>
      </c>
      <c r="T321" s="492">
        <v>0</v>
      </c>
      <c r="U321" s="492">
        <f>O321+P321+Q321+R321+S321+T321</f>
        <v>0</v>
      </c>
      <c r="V321" s="492">
        <v>0</v>
      </c>
      <c r="W321" s="492">
        <v>0</v>
      </c>
      <c r="X321" s="492">
        <v>0</v>
      </c>
      <c r="Y321" s="492">
        <f t="shared" si="537"/>
        <v>0</v>
      </c>
      <c r="Z321" s="492">
        <f t="shared" si="538"/>
        <v>0</v>
      </c>
      <c r="AA321" s="494">
        <f t="shared" si="539"/>
        <v>0</v>
      </c>
      <c r="AB321" s="494">
        <f t="shared" si="540"/>
        <v>0</v>
      </c>
      <c r="AC321" s="14">
        <v>0</v>
      </c>
      <c r="AD321" s="892">
        <f t="shared" si="463"/>
        <v>0</v>
      </c>
      <c r="AE321" s="702">
        <v>0</v>
      </c>
      <c r="AF321" s="702">
        <v>0</v>
      </c>
      <c r="AG321" s="491">
        <v>0</v>
      </c>
      <c r="AH321" s="491">
        <v>0</v>
      </c>
      <c r="AI321" s="491">
        <v>0</v>
      </c>
      <c r="AJ321" s="491">
        <v>0</v>
      </c>
      <c r="AK321" s="626">
        <f>SUM(AE321:AJ321)</f>
        <v>0</v>
      </c>
      <c r="AL321" s="696">
        <f>I321+AD321</f>
        <v>0</v>
      </c>
      <c r="AM321" s="492">
        <f>J321+U321</f>
        <v>0</v>
      </c>
      <c r="AN321" s="492">
        <f>Y321</f>
        <v>0</v>
      </c>
      <c r="AO321" s="492">
        <f t="shared" si="541"/>
        <v>0</v>
      </c>
      <c r="AP321" s="492">
        <f t="shared" si="541"/>
        <v>0</v>
      </c>
      <c r="AQ321" s="578">
        <f t="shared" si="541"/>
        <v>0</v>
      </c>
      <c r="AR321" s="626">
        <f>N321+AK321</f>
        <v>0</v>
      </c>
    </row>
    <row r="322" spans="1:44" ht="14.1" customHeight="1" x14ac:dyDescent="0.2">
      <c r="A322" s="499">
        <v>79</v>
      </c>
      <c r="B322" s="512">
        <v>2329</v>
      </c>
      <c r="C322" s="513">
        <v>691007331</v>
      </c>
      <c r="D322" s="512">
        <v>71294171</v>
      </c>
      <c r="E322" s="511" t="s">
        <v>736</v>
      </c>
      <c r="F322" s="499">
        <v>3143</v>
      </c>
      <c r="G322" s="514" t="s">
        <v>794</v>
      </c>
      <c r="H322" s="495" t="s">
        <v>262</v>
      </c>
      <c r="I322" s="627">
        <f t="shared" si="456"/>
        <v>566879</v>
      </c>
      <c r="J322" s="14">
        <v>420534</v>
      </c>
      <c r="K322" s="14">
        <v>142140</v>
      </c>
      <c r="L322" s="14">
        <v>4205</v>
      </c>
      <c r="M322" s="14">
        <v>0</v>
      </c>
      <c r="N322" s="121">
        <v>0.75</v>
      </c>
      <c r="O322" s="696">
        <f t="shared" si="457"/>
        <v>0</v>
      </c>
      <c r="P322" s="492">
        <v>0</v>
      </c>
      <c r="Q322" s="492">
        <v>0</v>
      </c>
      <c r="R322" s="492">
        <v>0</v>
      </c>
      <c r="S322" s="492">
        <v>0</v>
      </c>
      <c r="T322" s="492">
        <v>0</v>
      </c>
      <c r="U322" s="492">
        <f>O322+P322+Q322+R322+S322+T322</f>
        <v>0</v>
      </c>
      <c r="V322" s="492">
        <v>0</v>
      </c>
      <c r="W322" s="492">
        <v>0</v>
      </c>
      <c r="X322" s="492">
        <v>0</v>
      </c>
      <c r="Y322" s="492">
        <f t="shared" si="537"/>
        <v>0</v>
      </c>
      <c r="Z322" s="492">
        <f t="shared" si="538"/>
        <v>0</v>
      </c>
      <c r="AA322" s="494">
        <f t="shared" si="539"/>
        <v>0</v>
      </c>
      <c r="AB322" s="494">
        <f t="shared" si="540"/>
        <v>0</v>
      </c>
      <c r="AC322" s="14">
        <v>0</v>
      </c>
      <c r="AD322" s="892">
        <f t="shared" si="463"/>
        <v>0</v>
      </c>
      <c r="AE322" s="702">
        <v>0</v>
      </c>
      <c r="AF322" s="702">
        <v>0</v>
      </c>
      <c r="AG322" s="491">
        <v>0</v>
      </c>
      <c r="AH322" s="491">
        <v>0</v>
      </c>
      <c r="AI322" s="491">
        <v>0</v>
      </c>
      <c r="AJ322" s="491">
        <v>0</v>
      </c>
      <c r="AK322" s="626">
        <f>SUM(AE322:AJ322)</f>
        <v>0</v>
      </c>
      <c r="AL322" s="696">
        <f>I322+AD322</f>
        <v>566879</v>
      </c>
      <c r="AM322" s="492">
        <f>J322+U322</f>
        <v>420534</v>
      </c>
      <c r="AN322" s="492">
        <f>Y322</f>
        <v>0</v>
      </c>
      <c r="AO322" s="492">
        <f t="shared" si="541"/>
        <v>142140</v>
      </c>
      <c r="AP322" s="492">
        <f t="shared" si="541"/>
        <v>4205</v>
      </c>
      <c r="AQ322" s="578">
        <f t="shared" si="541"/>
        <v>0</v>
      </c>
      <c r="AR322" s="626">
        <f>N322+AK322</f>
        <v>0.75</v>
      </c>
    </row>
    <row r="323" spans="1:44" ht="14.1" customHeight="1" x14ac:dyDescent="0.2">
      <c r="A323" s="510">
        <v>79</v>
      </c>
      <c r="B323" s="508">
        <v>2329</v>
      </c>
      <c r="C323" s="509">
        <v>691007331</v>
      </c>
      <c r="D323" s="508">
        <v>71294171</v>
      </c>
      <c r="E323" s="506" t="s">
        <v>756</v>
      </c>
      <c r="F323" s="510"/>
      <c r="G323" s="506"/>
      <c r="H323" s="505"/>
      <c r="I323" s="634">
        <f t="shared" ref="I323:AR323" si="542">SUM(I319:I322)</f>
        <v>9721181</v>
      </c>
      <c r="J323" s="517">
        <f t="shared" si="542"/>
        <v>7211558</v>
      </c>
      <c r="K323" s="517">
        <f t="shared" si="542"/>
        <v>2437507</v>
      </c>
      <c r="L323" s="517">
        <f t="shared" si="542"/>
        <v>72116</v>
      </c>
      <c r="M323" s="517">
        <f t="shared" si="542"/>
        <v>0</v>
      </c>
      <c r="N323" s="887">
        <f t="shared" si="542"/>
        <v>10.575799999999999</v>
      </c>
      <c r="O323" s="634">
        <f t="shared" si="542"/>
        <v>0</v>
      </c>
      <c r="P323" s="516">
        <f t="shared" si="542"/>
        <v>0</v>
      </c>
      <c r="Q323" s="516">
        <f t="shared" si="542"/>
        <v>0</v>
      </c>
      <c r="R323" s="516">
        <f t="shared" si="542"/>
        <v>0</v>
      </c>
      <c r="S323" s="516">
        <f t="shared" si="542"/>
        <v>0</v>
      </c>
      <c r="T323" s="516">
        <f t="shared" si="542"/>
        <v>0</v>
      </c>
      <c r="U323" s="516">
        <f t="shared" si="542"/>
        <v>0</v>
      </c>
      <c r="V323" s="516">
        <f t="shared" si="542"/>
        <v>0</v>
      </c>
      <c r="W323" s="516">
        <f t="shared" si="542"/>
        <v>0</v>
      </c>
      <c r="X323" s="516">
        <f t="shared" si="542"/>
        <v>0</v>
      </c>
      <c r="Y323" s="516">
        <f t="shared" si="542"/>
        <v>0</v>
      </c>
      <c r="Z323" s="516">
        <f t="shared" si="542"/>
        <v>0</v>
      </c>
      <c r="AA323" s="516">
        <f t="shared" si="542"/>
        <v>0</v>
      </c>
      <c r="AB323" s="516">
        <f t="shared" si="542"/>
        <v>0</v>
      </c>
      <c r="AC323" s="516">
        <f t="shared" si="542"/>
        <v>0</v>
      </c>
      <c r="AD323" s="894">
        <f t="shared" si="542"/>
        <v>0</v>
      </c>
      <c r="AE323" s="705">
        <f t="shared" si="542"/>
        <v>0</v>
      </c>
      <c r="AF323" s="705">
        <f t="shared" si="542"/>
        <v>0</v>
      </c>
      <c r="AG323" s="515">
        <f t="shared" si="542"/>
        <v>0</v>
      </c>
      <c r="AH323" s="515">
        <f t="shared" si="542"/>
        <v>0</v>
      </c>
      <c r="AI323" s="515">
        <f t="shared" si="542"/>
        <v>0</v>
      </c>
      <c r="AJ323" s="515">
        <f t="shared" si="542"/>
        <v>0</v>
      </c>
      <c r="AK323" s="635">
        <f t="shared" si="542"/>
        <v>0</v>
      </c>
      <c r="AL323" s="634">
        <f t="shared" si="542"/>
        <v>9721181</v>
      </c>
      <c r="AM323" s="516">
        <f t="shared" si="542"/>
        <v>7211558</v>
      </c>
      <c r="AN323" s="554">
        <f t="shared" si="542"/>
        <v>0</v>
      </c>
      <c r="AO323" s="516">
        <f t="shared" si="542"/>
        <v>2437507</v>
      </c>
      <c r="AP323" s="516">
        <f t="shared" si="542"/>
        <v>72116</v>
      </c>
      <c r="AQ323" s="516">
        <f t="shared" si="542"/>
        <v>0</v>
      </c>
      <c r="AR323" s="635">
        <f t="shared" si="542"/>
        <v>10.575799999999999</v>
      </c>
    </row>
    <row r="324" spans="1:44" ht="14.1" customHeight="1" x14ac:dyDescent="0.2">
      <c r="A324" s="499">
        <v>80</v>
      </c>
      <c r="B324" s="512">
        <v>2466</v>
      </c>
      <c r="C324" s="513">
        <v>600079821</v>
      </c>
      <c r="D324" s="512">
        <v>70695083</v>
      </c>
      <c r="E324" s="511" t="s">
        <v>767</v>
      </c>
      <c r="F324" s="499">
        <v>3111</v>
      </c>
      <c r="G324" s="511" t="s">
        <v>277</v>
      </c>
      <c r="H324" s="495" t="s">
        <v>262</v>
      </c>
      <c r="I324" s="627">
        <f t="shared" si="456"/>
        <v>3026750</v>
      </c>
      <c r="J324" s="14">
        <v>2245363</v>
      </c>
      <c r="K324" s="14">
        <v>758933</v>
      </c>
      <c r="L324" s="14">
        <v>22454</v>
      </c>
      <c r="M324" s="14">
        <v>0</v>
      </c>
      <c r="N324" s="121">
        <v>4</v>
      </c>
      <c r="O324" s="696">
        <f t="shared" si="457"/>
        <v>0</v>
      </c>
      <c r="P324" s="492">
        <v>0</v>
      </c>
      <c r="Q324" s="492">
        <v>0</v>
      </c>
      <c r="R324" s="492">
        <v>0</v>
      </c>
      <c r="S324" s="492">
        <v>0</v>
      </c>
      <c r="T324" s="492">
        <v>0</v>
      </c>
      <c r="U324" s="492">
        <f>O324+P324+Q324+R324+S324+T324</f>
        <v>0</v>
      </c>
      <c r="V324" s="492">
        <v>0</v>
      </c>
      <c r="W324" s="492">
        <v>0</v>
      </c>
      <c r="X324" s="492">
        <v>0</v>
      </c>
      <c r="Y324" s="492">
        <f t="shared" ref="Y324:Y327" si="543">V324+W324+X324</f>
        <v>0</v>
      </c>
      <c r="Z324" s="492">
        <f t="shared" ref="Z324:Z327" si="544">U324+Y324</f>
        <v>0</v>
      </c>
      <c r="AA324" s="494">
        <f t="shared" ref="AA324:AA327" si="545">ROUND((U324+Y324)*33.8%,0)</f>
        <v>0</v>
      </c>
      <c r="AB324" s="494">
        <f t="shared" ref="AB324:AB327" si="546">ROUND(U324*1%,0)</f>
        <v>0</v>
      </c>
      <c r="AC324" s="14">
        <v>0</v>
      </c>
      <c r="AD324" s="892">
        <f t="shared" si="463"/>
        <v>0</v>
      </c>
      <c r="AE324" s="702">
        <v>0</v>
      </c>
      <c r="AF324" s="702">
        <v>0</v>
      </c>
      <c r="AG324" s="491">
        <v>0</v>
      </c>
      <c r="AH324" s="491">
        <v>0</v>
      </c>
      <c r="AI324" s="491">
        <v>0</v>
      </c>
      <c r="AJ324" s="491">
        <v>0</v>
      </c>
      <c r="AK324" s="626">
        <f>SUM(AE324:AJ324)</f>
        <v>0</v>
      </c>
      <c r="AL324" s="696">
        <f>I324+AD324</f>
        <v>3026750</v>
      </c>
      <c r="AM324" s="492">
        <f>J324+U324</f>
        <v>2245363</v>
      </c>
      <c r="AN324" s="492">
        <f>Y324</f>
        <v>0</v>
      </c>
      <c r="AO324" s="492">
        <f t="shared" ref="AO324:AQ327" si="547">K324+AA324</f>
        <v>758933</v>
      </c>
      <c r="AP324" s="492">
        <f t="shared" si="547"/>
        <v>22454</v>
      </c>
      <c r="AQ324" s="578">
        <f t="shared" si="547"/>
        <v>0</v>
      </c>
      <c r="AR324" s="626">
        <f>N324+AK324</f>
        <v>4</v>
      </c>
    </row>
    <row r="325" spans="1:44" ht="14.1" customHeight="1" x14ac:dyDescent="0.2">
      <c r="A325" s="499">
        <v>80</v>
      </c>
      <c r="B325" s="512">
        <v>2466</v>
      </c>
      <c r="C325" s="513">
        <v>600079821</v>
      </c>
      <c r="D325" s="512">
        <v>70695083</v>
      </c>
      <c r="E325" s="511" t="s">
        <v>767</v>
      </c>
      <c r="F325" s="499">
        <v>3113</v>
      </c>
      <c r="G325" s="511" t="s">
        <v>280</v>
      </c>
      <c r="H325" s="495" t="s">
        <v>262</v>
      </c>
      <c r="I325" s="627">
        <f t="shared" si="456"/>
        <v>8367137</v>
      </c>
      <c r="J325" s="14">
        <v>6207075</v>
      </c>
      <c r="K325" s="14">
        <v>2097991</v>
      </c>
      <c r="L325" s="14">
        <v>62071</v>
      </c>
      <c r="M325" s="14">
        <v>0</v>
      </c>
      <c r="N325" s="121">
        <v>9.8635999999999999</v>
      </c>
      <c r="O325" s="696">
        <f t="shared" si="457"/>
        <v>-60000</v>
      </c>
      <c r="P325" s="492">
        <v>0</v>
      </c>
      <c r="Q325" s="492">
        <v>0</v>
      </c>
      <c r="R325" s="492">
        <v>0</v>
      </c>
      <c r="S325" s="492">
        <v>0</v>
      </c>
      <c r="T325" s="492">
        <v>0</v>
      </c>
      <c r="U325" s="492">
        <f>O325+P325+Q325+R325+S325+T325</f>
        <v>-60000</v>
      </c>
      <c r="V325" s="492">
        <v>60000</v>
      </c>
      <c r="W325" s="492">
        <v>250174</v>
      </c>
      <c r="X325" s="492">
        <v>0</v>
      </c>
      <c r="Y325" s="492">
        <f t="shared" si="543"/>
        <v>310174</v>
      </c>
      <c r="Z325" s="492">
        <f t="shared" si="544"/>
        <v>250174</v>
      </c>
      <c r="AA325" s="494">
        <f t="shared" si="545"/>
        <v>84559</v>
      </c>
      <c r="AB325" s="494">
        <f t="shared" si="546"/>
        <v>-600</v>
      </c>
      <c r="AC325" s="14">
        <v>0</v>
      </c>
      <c r="AD325" s="892">
        <f t="shared" si="463"/>
        <v>334133</v>
      </c>
      <c r="AE325" s="702">
        <v>0</v>
      </c>
      <c r="AF325" s="702">
        <v>0</v>
      </c>
      <c r="AG325" s="491">
        <v>0</v>
      </c>
      <c r="AH325" s="491">
        <v>0</v>
      </c>
      <c r="AI325" s="491">
        <v>0</v>
      </c>
      <c r="AJ325" s="491">
        <v>0</v>
      </c>
      <c r="AK325" s="626">
        <f>SUM(AE325:AJ325)</f>
        <v>0</v>
      </c>
      <c r="AL325" s="696">
        <f>I325+AD325</f>
        <v>8701270</v>
      </c>
      <c r="AM325" s="492">
        <f>J325+U325</f>
        <v>6147075</v>
      </c>
      <c r="AN325" s="492">
        <f>Y325</f>
        <v>310174</v>
      </c>
      <c r="AO325" s="492">
        <f t="shared" si="547"/>
        <v>2182550</v>
      </c>
      <c r="AP325" s="492">
        <f t="shared" si="547"/>
        <v>61471</v>
      </c>
      <c r="AQ325" s="578">
        <f t="shared" si="547"/>
        <v>0</v>
      </c>
      <c r="AR325" s="626">
        <f>N325+AK325</f>
        <v>9.8635999999999999</v>
      </c>
    </row>
    <row r="326" spans="1:44" ht="14.1" customHeight="1" x14ac:dyDescent="0.2">
      <c r="A326" s="499">
        <v>80</v>
      </c>
      <c r="B326" s="512">
        <v>2466</v>
      </c>
      <c r="C326" s="513">
        <v>600079821</v>
      </c>
      <c r="D326" s="512">
        <v>70695083</v>
      </c>
      <c r="E326" s="511" t="s">
        <v>767</v>
      </c>
      <c r="F326" s="499">
        <v>3113</v>
      </c>
      <c r="G326" s="514" t="s">
        <v>278</v>
      </c>
      <c r="H326" s="495" t="s">
        <v>263</v>
      </c>
      <c r="I326" s="627">
        <f t="shared" si="456"/>
        <v>0</v>
      </c>
      <c r="J326" s="490">
        <v>0</v>
      </c>
      <c r="K326" s="14">
        <v>0</v>
      </c>
      <c r="L326" s="14">
        <v>0</v>
      </c>
      <c r="M326" s="14">
        <v>0</v>
      </c>
      <c r="N326" s="682">
        <v>0</v>
      </c>
      <c r="O326" s="696">
        <f t="shared" si="457"/>
        <v>0</v>
      </c>
      <c r="P326" s="490">
        <v>1986560</v>
      </c>
      <c r="Q326" s="492">
        <v>0</v>
      </c>
      <c r="R326" s="492">
        <v>0</v>
      </c>
      <c r="S326" s="492">
        <v>0</v>
      </c>
      <c r="T326" s="492">
        <v>0</v>
      </c>
      <c r="U326" s="492">
        <f>O326+P326+Q326+R326+S326+T326</f>
        <v>1986560</v>
      </c>
      <c r="V326" s="492">
        <v>0</v>
      </c>
      <c r="W326" s="492">
        <v>0</v>
      </c>
      <c r="X326" s="492">
        <v>0</v>
      </c>
      <c r="Y326" s="492">
        <f t="shared" si="543"/>
        <v>0</v>
      </c>
      <c r="Z326" s="492">
        <f t="shared" si="544"/>
        <v>1986560</v>
      </c>
      <c r="AA326" s="494">
        <f t="shared" si="545"/>
        <v>671457</v>
      </c>
      <c r="AB326" s="494">
        <f t="shared" si="546"/>
        <v>19866</v>
      </c>
      <c r="AC326" s="14">
        <v>0</v>
      </c>
      <c r="AD326" s="892">
        <f t="shared" si="463"/>
        <v>2677883</v>
      </c>
      <c r="AE326" s="702">
        <v>0</v>
      </c>
      <c r="AF326" s="121">
        <v>4.96</v>
      </c>
      <c r="AG326" s="491">
        <v>0</v>
      </c>
      <c r="AH326" s="491">
        <v>0</v>
      </c>
      <c r="AI326" s="491">
        <v>0</v>
      </c>
      <c r="AJ326" s="491">
        <v>0</v>
      </c>
      <c r="AK326" s="626">
        <f>SUM(AE326:AJ326)</f>
        <v>4.96</v>
      </c>
      <c r="AL326" s="696">
        <f>I326+AD326</f>
        <v>2677883</v>
      </c>
      <c r="AM326" s="492">
        <f>J326+U326</f>
        <v>1986560</v>
      </c>
      <c r="AN326" s="492">
        <f>Y326</f>
        <v>0</v>
      </c>
      <c r="AO326" s="492">
        <f t="shared" si="547"/>
        <v>671457</v>
      </c>
      <c r="AP326" s="492">
        <f t="shared" si="547"/>
        <v>19866</v>
      </c>
      <c r="AQ326" s="578">
        <f t="shared" si="547"/>
        <v>0</v>
      </c>
      <c r="AR326" s="626">
        <f>N326+AK326</f>
        <v>4.96</v>
      </c>
    </row>
    <row r="327" spans="1:44" ht="14.1" customHeight="1" x14ac:dyDescent="0.2">
      <c r="A327" s="499">
        <v>80</v>
      </c>
      <c r="B327" s="512">
        <v>2466</v>
      </c>
      <c r="C327" s="513">
        <v>600079821</v>
      </c>
      <c r="D327" s="512">
        <v>70695083</v>
      </c>
      <c r="E327" s="511" t="s">
        <v>767</v>
      </c>
      <c r="F327" s="499">
        <v>3143</v>
      </c>
      <c r="G327" s="514" t="s">
        <v>794</v>
      </c>
      <c r="H327" s="495" t="s">
        <v>262</v>
      </c>
      <c r="I327" s="627">
        <f t="shared" si="456"/>
        <v>1256806</v>
      </c>
      <c r="J327" s="14">
        <v>932349</v>
      </c>
      <c r="K327" s="14">
        <v>315134</v>
      </c>
      <c r="L327" s="14">
        <v>9323</v>
      </c>
      <c r="M327" s="14">
        <v>0</v>
      </c>
      <c r="N327" s="121">
        <v>1.8957999999999999</v>
      </c>
      <c r="O327" s="696">
        <f t="shared" si="457"/>
        <v>0</v>
      </c>
      <c r="P327" s="492">
        <v>0</v>
      </c>
      <c r="Q327" s="492">
        <v>0</v>
      </c>
      <c r="R327" s="492">
        <v>0</v>
      </c>
      <c r="S327" s="492">
        <v>0</v>
      </c>
      <c r="T327" s="492">
        <v>0</v>
      </c>
      <c r="U327" s="492">
        <f>O327+P327+Q327+R327+S327+T327</f>
        <v>0</v>
      </c>
      <c r="V327" s="492">
        <v>0</v>
      </c>
      <c r="W327" s="492">
        <v>0</v>
      </c>
      <c r="X327" s="492">
        <v>0</v>
      </c>
      <c r="Y327" s="492">
        <f t="shared" si="543"/>
        <v>0</v>
      </c>
      <c r="Z327" s="492">
        <f t="shared" si="544"/>
        <v>0</v>
      </c>
      <c r="AA327" s="494">
        <f t="shared" si="545"/>
        <v>0</v>
      </c>
      <c r="AB327" s="494">
        <f t="shared" si="546"/>
        <v>0</v>
      </c>
      <c r="AC327" s="14">
        <v>0</v>
      </c>
      <c r="AD327" s="892">
        <f t="shared" si="463"/>
        <v>0</v>
      </c>
      <c r="AE327" s="702">
        <v>0</v>
      </c>
      <c r="AF327" s="702">
        <v>0</v>
      </c>
      <c r="AG327" s="491">
        <v>0</v>
      </c>
      <c r="AH327" s="491">
        <v>0</v>
      </c>
      <c r="AI327" s="491">
        <v>0</v>
      </c>
      <c r="AJ327" s="491">
        <v>0</v>
      </c>
      <c r="AK327" s="626">
        <f>SUM(AE327:AJ327)</f>
        <v>0</v>
      </c>
      <c r="AL327" s="696">
        <f>I327+AD327</f>
        <v>1256806</v>
      </c>
      <c r="AM327" s="492">
        <f>J327+U327</f>
        <v>932349</v>
      </c>
      <c r="AN327" s="492">
        <f>Y327</f>
        <v>0</v>
      </c>
      <c r="AO327" s="492">
        <f t="shared" si="547"/>
        <v>315134</v>
      </c>
      <c r="AP327" s="492">
        <f t="shared" si="547"/>
        <v>9323</v>
      </c>
      <c r="AQ327" s="578">
        <f t="shared" si="547"/>
        <v>0</v>
      </c>
      <c r="AR327" s="626">
        <f>N327+AK327</f>
        <v>1.8957999999999999</v>
      </c>
    </row>
    <row r="328" spans="1:44" ht="14.1" customHeight="1" x14ac:dyDescent="0.2">
      <c r="A328" s="510">
        <v>80</v>
      </c>
      <c r="B328" s="508">
        <v>2466</v>
      </c>
      <c r="C328" s="509">
        <v>600079821</v>
      </c>
      <c r="D328" s="508">
        <v>70695083</v>
      </c>
      <c r="E328" s="506" t="s">
        <v>768</v>
      </c>
      <c r="F328" s="510"/>
      <c r="G328" s="506"/>
      <c r="H328" s="505"/>
      <c r="I328" s="629">
        <f t="shared" ref="I328:AR328" si="548">SUM(I324:I327)</f>
        <v>12650693</v>
      </c>
      <c r="J328" s="504">
        <f t="shared" si="548"/>
        <v>9384787</v>
      </c>
      <c r="K328" s="504">
        <f t="shared" si="548"/>
        <v>3172058</v>
      </c>
      <c r="L328" s="504">
        <f t="shared" si="548"/>
        <v>93848</v>
      </c>
      <c r="M328" s="504">
        <f t="shared" si="548"/>
        <v>0</v>
      </c>
      <c r="N328" s="885">
        <f t="shared" si="548"/>
        <v>15.759399999999999</v>
      </c>
      <c r="O328" s="629">
        <f t="shared" si="548"/>
        <v>-60000</v>
      </c>
      <c r="P328" s="503">
        <f t="shared" si="548"/>
        <v>1986560</v>
      </c>
      <c r="Q328" s="503">
        <f t="shared" si="548"/>
        <v>0</v>
      </c>
      <c r="R328" s="503">
        <f t="shared" si="548"/>
        <v>0</v>
      </c>
      <c r="S328" s="503">
        <f t="shared" si="548"/>
        <v>0</v>
      </c>
      <c r="T328" s="503">
        <f t="shared" si="548"/>
        <v>0</v>
      </c>
      <c r="U328" s="503">
        <f t="shared" si="548"/>
        <v>1926560</v>
      </c>
      <c r="V328" s="503">
        <f t="shared" si="548"/>
        <v>60000</v>
      </c>
      <c r="W328" s="503">
        <f t="shared" si="548"/>
        <v>250174</v>
      </c>
      <c r="X328" s="503">
        <f t="shared" si="548"/>
        <v>0</v>
      </c>
      <c r="Y328" s="503">
        <f t="shared" si="548"/>
        <v>310174</v>
      </c>
      <c r="Z328" s="503">
        <f t="shared" si="548"/>
        <v>2236734</v>
      </c>
      <c r="AA328" s="503">
        <f t="shared" si="548"/>
        <v>756016</v>
      </c>
      <c r="AB328" s="503">
        <f t="shared" si="548"/>
        <v>19266</v>
      </c>
      <c r="AC328" s="503">
        <f t="shared" si="548"/>
        <v>0</v>
      </c>
      <c r="AD328" s="891">
        <f t="shared" si="548"/>
        <v>3012016</v>
      </c>
      <c r="AE328" s="701">
        <f t="shared" si="548"/>
        <v>0</v>
      </c>
      <c r="AF328" s="701">
        <f t="shared" si="548"/>
        <v>4.96</v>
      </c>
      <c r="AG328" s="502">
        <f t="shared" si="548"/>
        <v>0</v>
      </c>
      <c r="AH328" s="502">
        <f t="shared" si="548"/>
        <v>0</v>
      </c>
      <c r="AI328" s="502">
        <f t="shared" si="548"/>
        <v>0</v>
      </c>
      <c r="AJ328" s="502">
        <f t="shared" si="548"/>
        <v>0</v>
      </c>
      <c r="AK328" s="630">
        <f t="shared" si="548"/>
        <v>4.96</v>
      </c>
      <c r="AL328" s="629">
        <f t="shared" si="548"/>
        <v>15662709</v>
      </c>
      <c r="AM328" s="503">
        <f t="shared" si="548"/>
        <v>11311347</v>
      </c>
      <c r="AN328" s="552">
        <f t="shared" si="548"/>
        <v>310174</v>
      </c>
      <c r="AO328" s="503">
        <f t="shared" si="548"/>
        <v>3928074</v>
      </c>
      <c r="AP328" s="503">
        <f t="shared" si="548"/>
        <v>113114</v>
      </c>
      <c r="AQ328" s="503">
        <f t="shared" si="548"/>
        <v>0</v>
      </c>
      <c r="AR328" s="630">
        <f t="shared" si="548"/>
        <v>20.7194</v>
      </c>
    </row>
    <row r="329" spans="1:44" ht="14.1" customHeight="1" x14ac:dyDescent="0.2">
      <c r="A329" s="499">
        <v>81</v>
      </c>
      <c r="B329" s="512">
        <v>2493</v>
      </c>
      <c r="C329" s="513">
        <v>600080021</v>
      </c>
      <c r="D329" s="512">
        <v>72742399</v>
      </c>
      <c r="E329" s="511" t="s">
        <v>670</v>
      </c>
      <c r="F329" s="499">
        <v>3111</v>
      </c>
      <c r="G329" s="511" t="s">
        <v>277</v>
      </c>
      <c r="H329" s="495" t="s">
        <v>262</v>
      </c>
      <c r="I329" s="627">
        <f t="shared" si="456"/>
        <v>7638108</v>
      </c>
      <c r="J329" s="14">
        <v>5666252</v>
      </c>
      <c r="K329" s="14">
        <v>1915193</v>
      </c>
      <c r="L329" s="14">
        <v>56663</v>
      </c>
      <c r="M329" s="14">
        <v>0</v>
      </c>
      <c r="N329" s="121">
        <v>9.7903000000000002</v>
      </c>
      <c r="O329" s="696">
        <f t="shared" si="457"/>
        <v>-10000</v>
      </c>
      <c r="P329" s="492">
        <v>0</v>
      </c>
      <c r="Q329" s="492">
        <v>0</v>
      </c>
      <c r="R329" s="492">
        <v>0</v>
      </c>
      <c r="S329" s="492">
        <v>0</v>
      </c>
      <c r="T329" s="492">
        <v>0</v>
      </c>
      <c r="U329" s="492">
        <f>O329+P329+Q329+R329+S329+T329</f>
        <v>-10000</v>
      </c>
      <c r="V329" s="492">
        <v>10000</v>
      </c>
      <c r="W329" s="492">
        <v>0</v>
      </c>
      <c r="X329" s="492">
        <v>0</v>
      </c>
      <c r="Y329" s="492">
        <f t="shared" ref="Y329:Y333" si="549">V329+W329+X329</f>
        <v>10000</v>
      </c>
      <c r="Z329" s="492">
        <f t="shared" ref="Z329:Z333" si="550">U329+Y329</f>
        <v>0</v>
      </c>
      <c r="AA329" s="494">
        <f t="shared" ref="AA329:AA333" si="551">ROUND((U329+Y329)*33.8%,0)</f>
        <v>0</v>
      </c>
      <c r="AB329" s="494">
        <f t="shared" ref="AB329:AB333" si="552">ROUND(U329*1%,0)</f>
        <v>-100</v>
      </c>
      <c r="AC329" s="14">
        <v>0</v>
      </c>
      <c r="AD329" s="892">
        <f t="shared" si="463"/>
        <v>-100</v>
      </c>
      <c r="AE329" s="702">
        <v>0</v>
      </c>
      <c r="AF329" s="702">
        <v>0</v>
      </c>
      <c r="AG329" s="491">
        <v>0</v>
      </c>
      <c r="AH329" s="491">
        <v>0</v>
      </c>
      <c r="AI329" s="491">
        <v>0</v>
      </c>
      <c r="AJ329" s="491">
        <v>0</v>
      </c>
      <c r="AK329" s="626">
        <f>SUM(AE329:AJ329)</f>
        <v>0</v>
      </c>
      <c r="AL329" s="696">
        <f>I329+AD329</f>
        <v>7638008</v>
      </c>
      <c r="AM329" s="492">
        <f>J329+U329</f>
        <v>5656252</v>
      </c>
      <c r="AN329" s="492">
        <f>Y329</f>
        <v>10000</v>
      </c>
      <c r="AO329" s="492">
        <f t="shared" ref="AO329:AQ333" si="553">K329+AA329</f>
        <v>1915193</v>
      </c>
      <c r="AP329" s="492">
        <f t="shared" si="553"/>
        <v>56563</v>
      </c>
      <c r="AQ329" s="578">
        <f t="shared" si="553"/>
        <v>0</v>
      </c>
      <c r="AR329" s="626">
        <f>N329+AK329</f>
        <v>9.7903000000000002</v>
      </c>
    </row>
    <row r="330" spans="1:44" ht="14.1" customHeight="1" x14ac:dyDescent="0.2">
      <c r="A330" s="499">
        <v>81</v>
      </c>
      <c r="B330" s="512">
        <v>2493</v>
      </c>
      <c r="C330" s="513">
        <v>600080021</v>
      </c>
      <c r="D330" s="512">
        <v>72742399</v>
      </c>
      <c r="E330" s="511" t="s">
        <v>670</v>
      </c>
      <c r="F330" s="499">
        <v>3113</v>
      </c>
      <c r="G330" s="511" t="s">
        <v>280</v>
      </c>
      <c r="H330" s="495" t="s">
        <v>262</v>
      </c>
      <c r="I330" s="627">
        <f t="shared" si="456"/>
        <v>17493167</v>
      </c>
      <c r="J330" s="14">
        <v>12977126</v>
      </c>
      <c r="K330" s="14">
        <v>4386270</v>
      </c>
      <c r="L330" s="14">
        <v>129771</v>
      </c>
      <c r="M330" s="14">
        <v>0</v>
      </c>
      <c r="N330" s="121">
        <v>16.090900000000001</v>
      </c>
      <c r="O330" s="696">
        <f t="shared" si="457"/>
        <v>-10000</v>
      </c>
      <c r="P330" s="492">
        <v>0</v>
      </c>
      <c r="Q330" s="492">
        <v>0</v>
      </c>
      <c r="R330" s="492">
        <v>0</v>
      </c>
      <c r="S330" s="492">
        <v>0</v>
      </c>
      <c r="T330" s="492">
        <v>0</v>
      </c>
      <c r="U330" s="492">
        <f>O330+P330+Q330+R330+S330+T330</f>
        <v>-10000</v>
      </c>
      <c r="V330" s="492">
        <v>10000</v>
      </c>
      <c r="W330" s="492">
        <v>0</v>
      </c>
      <c r="X330" s="492">
        <v>0</v>
      </c>
      <c r="Y330" s="492">
        <f t="shared" si="549"/>
        <v>10000</v>
      </c>
      <c r="Z330" s="492">
        <f t="shared" si="550"/>
        <v>0</v>
      </c>
      <c r="AA330" s="494">
        <f t="shared" si="551"/>
        <v>0</v>
      </c>
      <c r="AB330" s="494">
        <f t="shared" si="552"/>
        <v>-100</v>
      </c>
      <c r="AC330" s="14">
        <v>0</v>
      </c>
      <c r="AD330" s="892">
        <f t="shared" si="463"/>
        <v>-100</v>
      </c>
      <c r="AE330" s="702">
        <v>0</v>
      </c>
      <c r="AF330" s="702">
        <v>0</v>
      </c>
      <c r="AG330" s="491">
        <v>0</v>
      </c>
      <c r="AH330" s="491">
        <v>0</v>
      </c>
      <c r="AI330" s="491">
        <v>0</v>
      </c>
      <c r="AJ330" s="491">
        <v>0</v>
      </c>
      <c r="AK330" s="626">
        <f>SUM(AE330:AJ330)</f>
        <v>0</v>
      </c>
      <c r="AL330" s="696">
        <f>I330+AD330</f>
        <v>17493067</v>
      </c>
      <c r="AM330" s="492">
        <f>J330+U330</f>
        <v>12967126</v>
      </c>
      <c r="AN330" s="492">
        <f>Y330</f>
        <v>10000</v>
      </c>
      <c r="AO330" s="492">
        <f t="shared" si="553"/>
        <v>4386270</v>
      </c>
      <c r="AP330" s="492">
        <f t="shared" si="553"/>
        <v>129671</v>
      </c>
      <c r="AQ330" s="578">
        <f t="shared" si="553"/>
        <v>0</v>
      </c>
      <c r="AR330" s="626">
        <f>N330+AK330</f>
        <v>16.090900000000001</v>
      </c>
    </row>
    <row r="331" spans="1:44" ht="14.1" customHeight="1" x14ac:dyDescent="0.2">
      <c r="A331" s="499">
        <v>81</v>
      </c>
      <c r="B331" s="512">
        <v>2493</v>
      </c>
      <c r="C331" s="513">
        <v>600080021</v>
      </c>
      <c r="D331" s="512">
        <v>72742399</v>
      </c>
      <c r="E331" s="511" t="s">
        <v>670</v>
      </c>
      <c r="F331" s="499">
        <v>3113</v>
      </c>
      <c r="G331" s="511" t="s">
        <v>799</v>
      </c>
      <c r="H331" s="495" t="s">
        <v>262</v>
      </c>
      <c r="I331" s="627">
        <f t="shared" si="456"/>
        <v>167871</v>
      </c>
      <c r="J331" s="14">
        <v>124534</v>
      </c>
      <c r="K331" s="14">
        <v>42092</v>
      </c>
      <c r="L331" s="14">
        <v>1245</v>
      </c>
      <c r="M331" s="14">
        <v>0</v>
      </c>
      <c r="N331" s="121">
        <v>0.2</v>
      </c>
      <c r="O331" s="696">
        <f t="shared" si="457"/>
        <v>0</v>
      </c>
      <c r="P331" s="492">
        <v>0</v>
      </c>
      <c r="Q331" s="492">
        <v>0</v>
      </c>
      <c r="R331" s="492">
        <v>0</v>
      </c>
      <c r="S331" s="492">
        <v>0</v>
      </c>
      <c r="T331" s="492">
        <v>0</v>
      </c>
      <c r="U331" s="492">
        <f>O331+P331+Q331+R331+S331+T331</f>
        <v>0</v>
      </c>
      <c r="V331" s="492">
        <v>0</v>
      </c>
      <c r="W331" s="492">
        <v>0</v>
      </c>
      <c r="X331" s="492">
        <v>0</v>
      </c>
      <c r="Y331" s="492">
        <f t="shared" ref="Y331" si="554">V331+W331+X331</f>
        <v>0</v>
      </c>
      <c r="Z331" s="492">
        <f t="shared" ref="Z331" si="555">U331+Y331</f>
        <v>0</v>
      </c>
      <c r="AA331" s="494">
        <f t="shared" ref="AA331" si="556">ROUND((U331+Y331)*33.8%,0)</f>
        <v>0</v>
      </c>
      <c r="AB331" s="494">
        <f t="shared" ref="AB331" si="557">ROUND(U331*1%,0)</f>
        <v>0</v>
      </c>
      <c r="AC331" s="14">
        <v>0</v>
      </c>
      <c r="AD331" s="892">
        <f t="shared" si="463"/>
        <v>0</v>
      </c>
      <c r="AE331" s="702">
        <v>0</v>
      </c>
      <c r="AF331" s="702">
        <v>0</v>
      </c>
      <c r="AG331" s="491">
        <v>0</v>
      </c>
      <c r="AH331" s="491">
        <v>0</v>
      </c>
      <c r="AI331" s="491">
        <v>0</v>
      </c>
      <c r="AJ331" s="491">
        <v>0</v>
      </c>
      <c r="AK331" s="626">
        <f>SUM(AE331:AJ331)</f>
        <v>0</v>
      </c>
      <c r="AL331" s="696">
        <f>I331+AD331</f>
        <v>167871</v>
      </c>
      <c r="AM331" s="492">
        <f>J331+U331</f>
        <v>124534</v>
      </c>
      <c r="AN331" s="492">
        <f>Y331</f>
        <v>0</v>
      </c>
      <c r="AO331" s="492">
        <f t="shared" si="553"/>
        <v>42092</v>
      </c>
      <c r="AP331" s="492">
        <f t="shared" si="553"/>
        <v>1245</v>
      </c>
      <c r="AQ331" s="578">
        <f t="shared" si="553"/>
        <v>0</v>
      </c>
      <c r="AR331" s="626">
        <f>N331+AK331</f>
        <v>0.2</v>
      </c>
    </row>
    <row r="332" spans="1:44" ht="14.1" customHeight="1" x14ac:dyDescent="0.2">
      <c r="A332" s="499">
        <v>81</v>
      </c>
      <c r="B332" s="512">
        <v>2493</v>
      </c>
      <c r="C332" s="513">
        <v>600080021</v>
      </c>
      <c r="D332" s="512">
        <v>72742399</v>
      </c>
      <c r="E332" s="511" t="s">
        <v>670</v>
      </c>
      <c r="F332" s="499">
        <v>3113</v>
      </c>
      <c r="G332" s="514" t="s">
        <v>278</v>
      </c>
      <c r="H332" s="495" t="s">
        <v>263</v>
      </c>
      <c r="I332" s="627">
        <f t="shared" si="456"/>
        <v>0</v>
      </c>
      <c r="J332" s="490">
        <v>0</v>
      </c>
      <c r="K332" s="14">
        <v>0</v>
      </c>
      <c r="L332" s="14">
        <v>0</v>
      </c>
      <c r="M332" s="14">
        <v>0</v>
      </c>
      <c r="N332" s="682">
        <v>0</v>
      </c>
      <c r="O332" s="696">
        <f t="shared" si="457"/>
        <v>0</v>
      </c>
      <c r="P332" s="490">
        <v>2563602</v>
      </c>
      <c r="Q332" s="492">
        <v>0</v>
      </c>
      <c r="R332" s="492">
        <v>0</v>
      </c>
      <c r="S332" s="492">
        <v>0</v>
      </c>
      <c r="T332" s="492">
        <v>0</v>
      </c>
      <c r="U332" s="492">
        <f>O332+P332+Q332+R332+S332+T332</f>
        <v>2563602</v>
      </c>
      <c r="V332" s="492">
        <v>0</v>
      </c>
      <c r="W332" s="492">
        <v>0</v>
      </c>
      <c r="X332" s="492">
        <v>0</v>
      </c>
      <c r="Y332" s="492">
        <f t="shared" si="549"/>
        <v>0</v>
      </c>
      <c r="Z332" s="492">
        <f t="shared" si="550"/>
        <v>2563602</v>
      </c>
      <c r="AA332" s="494">
        <f t="shared" si="551"/>
        <v>866497</v>
      </c>
      <c r="AB332" s="494">
        <f t="shared" si="552"/>
        <v>25636</v>
      </c>
      <c r="AC332" s="14">
        <v>0</v>
      </c>
      <c r="AD332" s="892">
        <f t="shared" si="463"/>
        <v>3455735</v>
      </c>
      <c r="AE332" s="702">
        <v>0</v>
      </c>
      <c r="AF332" s="121">
        <v>6.78</v>
      </c>
      <c r="AG332" s="491">
        <v>0</v>
      </c>
      <c r="AH332" s="491">
        <v>0</v>
      </c>
      <c r="AI332" s="491">
        <v>0</v>
      </c>
      <c r="AJ332" s="491">
        <v>0</v>
      </c>
      <c r="AK332" s="626">
        <f>SUM(AE332:AJ332)</f>
        <v>6.78</v>
      </c>
      <c r="AL332" s="696">
        <f>I332+AD332</f>
        <v>3455735</v>
      </c>
      <c r="AM332" s="492">
        <f>J332+U332</f>
        <v>2563602</v>
      </c>
      <c r="AN332" s="492">
        <f>Y332</f>
        <v>0</v>
      </c>
      <c r="AO332" s="492">
        <f t="shared" si="553"/>
        <v>866497</v>
      </c>
      <c r="AP332" s="492">
        <f t="shared" si="553"/>
        <v>25636</v>
      </c>
      <c r="AQ332" s="578">
        <f t="shared" si="553"/>
        <v>0</v>
      </c>
      <c r="AR332" s="626">
        <f>N332+AK332</f>
        <v>6.78</v>
      </c>
    </row>
    <row r="333" spans="1:44" ht="14.1" customHeight="1" x14ac:dyDescent="0.2">
      <c r="A333" s="499">
        <v>81</v>
      </c>
      <c r="B333" s="512">
        <v>2493</v>
      </c>
      <c r="C333" s="513">
        <v>600080021</v>
      </c>
      <c r="D333" s="512">
        <v>72742399</v>
      </c>
      <c r="E333" s="511" t="s">
        <v>670</v>
      </c>
      <c r="F333" s="499">
        <v>3143</v>
      </c>
      <c r="G333" s="514" t="s">
        <v>794</v>
      </c>
      <c r="H333" s="495" t="s">
        <v>262</v>
      </c>
      <c r="I333" s="627">
        <f t="shared" ref="I333:I364" si="558">SUM(J333:M333)</f>
        <v>2135066</v>
      </c>
      <c r="J333" s="14">
        <v>1583877</v>
      </c>
      <c r="K333" s="14">
        <v>535350</v>
      </c>
      <c r="L333" s="14">
        <v>15839</v>
      </c>
      <c r="M333" s="14">
        <v>0</v>
      </c>
      <c r="N333" s="121">
        <v>2.9641999999999999</v>
      </c>
      <c r="O333" s="696">
        <f t="shared" ref="O333:O364" si="559">V333*-1</f>
        <v>-10000</v>
      </c>
      <c r="P333" s="492">
        <v>0</v>
      </c>
      <c r="Q333" s="492">
        <v>0</v>
      </c>
      <c r="R333" s="492">
        <v>0</v>
      </c>
      <c r="S333" s="492">
        <v>0</v>
      </c>
      <c r="T333" s="492">
        <v>0</v>
      </c>
      <c r="U333" s="492">
        <f>O333+P333+Q333+R333+S333+T333</f>
        <v>-10000</v>
      </c>
      <c r="V333" s="492">
        <v>10000</v>
      </c>
      <c r="W333" s="492">
        <v>0</v>
      </c>
      <c r="X333" s="492">
        <v>0</v>
      </c>
      <c r="Y333" s="492">
        <f t="shared" si="549"/>
        <v>10000</v>
      </c>
      <c r="Z333" s="492">
        <f t="shared" si="550"/>
        <v>0</v>
      </c>
      <c r="AA333" s="494">
        <f t="shared" si="551"/>
        <v>0</v>
      </c>
      <c r="AB333" s="494">
        <f t="shared" si="552"/>
        <v>-100</v>
      </c>
      <c r="AC333" s="14">
        <v>0</v>
      </c>
      <c r="AD333" s="892">
        <f t="shared" ref="AD333:AD364" si="560">Z333+AA333+AB333+AC333</f>
        <v>-100</v>
      </c>
      <c r="AE333" s="702">
        <v>0</v>
      </c>
      <c r="AF333" s="702">
        <v>0</v>
      </c>
      <c r="AG333" s="491">
        <v>0</v>
      </c>
      <c r="AH333" s="491">
        <v>0</v>
      </c>
      <c r="AI333" s="491">
        <v>0</v>
      </c>
      <c r="AJ333" s="491">
        <v>0</v>
      </c>
      <c r="AK333" s="626">
        <f>SUM(AE333:AJ333)</f>
        <v>0</v>
      </c>
      <c r="AL333" s="696">
        <f>I333+AD333</f>
        <v>2134966</v>
      </c>
      <c r="AM333" s="492">
        <f>J333+U333</f>
        <v>1573877</v>
      </c>
      <c r="AN333" s="492">
        <f>Y333</f>
        <v>10000</v>
      </c>
      <c r="AO333" s="492">
        <f t="shared" si="553"/>
        <v>535350</v>
      </c>
      <c r="AP333" s="492">
        <f t="shared" si="553"/>
        <v>15739</v>
      </c>
      <c r="AQ333" s="578">
        <f t="shared" si="553"/>
        <v>0</v>
      </c>
      <c r="AR333" s="626">
        <f>N333+AK333</f>
        <v>2.9641999999999999</v>
      </c>
    </row>
    <row r="334" spans="1:44" ht="14.1" customHeight="1" x14ac:dyDescent="0.2">
      <c r="A334" s="510">
        <v>81</v>
      </c>
      <c r="B334" s="508">
        <v>2493</v>
      </c>
      <c r="C334" s="509">
        <v>600080021</v>
      </c>
      <c r="D334" s="508">
        <v>72742399</v>
      </c>
      <c r="E334" s="506" t="s">
        <v>671</v>
      </c>
      <c r="F334" s="510"/>
      <c r="G334" s="506"/>
      <c r="H334" s="505"/>
      <c r="I334" s="629">
        <f t="shared" ref="I334:AR334" si="561">SUM(I329:I333)</f>
        <v>27434212</v>
      </c>
      <c r="J334" s="504">
        <f t="shared" si="561"/>
        <v>20351789</v>
      </c>
      <c r="K334" s="504">
        <f t="shared" si="561"/>
        <v>6878905</v>
      </c>
      <c r="L334" s="504">
        <f t="shared" si="561"/>
        <v>203518</v>
      </c>
      <c r="M334" s="504">
        <f t="shared" si="561"/>
        <v>0</v>
      </c>
      <c r="N334" s="885">
        <f t="shared" si="561"/>
        <v>29.045400000000001</v>
      </c>
      <c r="O334" s="629">
        <f t="shared" si="561"/>
        <v>-30000</v>
      </c>
      <c r="P334" s="503">
        <f t="shared" si="561"/>
        <v>2563602</v>
      </c>
      <c r="Q334" s="503">
        <f t="shared" si="561"/>
        <v>0</v>
      </c>
      <c r="R334" s="503">
        <f t="shared" si="561"/>
        <v>0</v>
      </c>
      <c r="S334" s="503">
        <f t="shared" si="561"/>
        <v>0</v>
      </c>
      <c r="T334" s="503">
        <f t="shared" si="561"/>
        <v>0</v>
      </c>
      <c r="U334" s="503">
        <f t="shared" si="561"/>
        <v>2533602</v>
      </c>
      <c r="V334" s="503">
        <f t="shared" si="561"/>
        <v>30000</v>
      </c>
      <c r="W334" s="503">
        <f t="shared" si="561"/>
        <v>0</v>
      </c>
      <c r="X334" s="503">
        <f t="shared" si="561"/>
        <v>0</v>
      </c>
      <c r="Y334" s="503">
        <f t="shared" si="561"/>
        <v>30000</v>
      </c>
      <c r="Z334" s="503">
        <f t="shared" si="561"/>
        <v>2563602</v>
      </c>
      <c r="AA334" s="503">
        <f t="shared" si="561"/>
        <v>866497</v>
      </c>
      <c r="AB334" s="503">
        <f t="shared" si="561"/>
        <v>25336</v>
      </c>
      <c r="AC334" s="503">
        <f t="shared" si="561"/>
        <v>0</v>
      </c>
      <c r="AD334" s="891">
        <f t="shared" si="561"/>
        <v>3455435</v>
      </c>
      <c r="AE334" s="701">
        <f t="shared" si="561"/>
        <v>0</v>
      </c>
      <c r="AF334" s="701">
        <f t="shared" si="561"/>
        <v>6.78</v>
      </c>
      <c r="AG334" s="502">
        <f t="shared" si="561"/>
        <v>0</v>
      </c>
      <c r="AH334" s="502">
        <f t="shared" si="561"/>
        <v>0</v>
      </c>
      <c r="AI334" s="502">
        <f t="shared" si="561"/>
        <v>0</v>
      </c>
      <c r="AJ334" s="502">
        <f t="shared" si="561"/>
        <v>0</v>
      </c>
      <c r="AK334" s="630">
        <f t="shared" si="561"/>
        <v>6.78</v>
      </c>
      <c r="AL334" s="629">
        <f t="shared" si="561"/>
        <v>30889647</v>
      </c>
      <c r="AM334" s="503">
        <f t="shared" si="561"/>
        <v>22885391</v>
      </c>
      <c r="AN334" s="552">
        <f t="shared" si="561"/>
        <v>30000</v>
      </c>
      <c r="AO334" s="503">
        <f t="shared" si="561"/>
        <v>7745402</v>
      </c>
      <c r="AP334" s="503">
        <f t="shared" si="561"/>
        <v>228854</v>
      </c>
      <c r="AQ334" s="503">
        <f t="shared" si="561"/>
        <v>0</v>
      </c>
      <c r="AR334" s="630">
        <f t="shared" si="561"/>
        <v>35.825399999999995</v>
      </c>
    </row>
    <row r="335" spans="1:44" ht="14.1" customHeight="1" x14ac:dyDescent="0.2">
      <c r="A335" s="499">
        <v>82</v>
      </c>
      <c r="B335" s="512">
        <v>2445</v>
      </c>
      <c r="C335" s="513">
        <v>600080030</v>
      </c>
      <c r="D335" s="512">
        <v>70695997</v>
      </c>
      <c r="E335" s="511" t="s">
        <v>672</v>
      </c>
      <c r="F335" s="499">
        <v>3111</v>
      </c>
      <c r="G335" s="511" t="s">
        <v>277</v>
      </c>
      <c r="H335" s="495" t="s">
        <v>262</v>
      </c>
      <c r="I335" s="627">
        <f t="shared" si="558"/>
        <v>3220579</v>
      </c>
      <c r="J335" s="14">
        <v>2389154</v>
      </c>
      <c r="K335" s="14">
        <v>807534</v>
      </c>
      <c r="L335" s="14">
        <v>23891</v>
      </c>
      <c r="M335" s="14">
        <v>0</v>
      </c>
      <c r="N335" s="121">
        <v>4</v>
      </c>
      <c r="O335" s="696">
        <f t="shared" si="559"/>
        <v>0</v>
      </c>
      <c r="P335" s="492">
        <v>0</v>
      </c>
      <c r="Q335" s="492">
        <v>0</v>
      </c>
      <c r="R335" s="492">
        <v>0</v>
      </c>
      <c r="S335" s="492">
        <v>0</v>
      </c>
      <c r="T335" s="492">
        <v>0</v>
      </c>
      <c r="U335" s="492">
        <f>O335+P335+Q335+R335+S335+T335</f>
        <v>0</v>
      </c>
      <c r="V335" s="492">
        <v>0</v>
      </c>
      <c r="W335" s="492">
        <v>0</v>
      </c>
      <c r="X335" s="492">
        <v>0</v>
      </c>
      <c r="Y335" s="492">
        <f t="shared" ref="Y335:Y338" si="562">V335+W335+X335</f>
        <v>0</v>
      </c>
      <c r="Z335" s="492">
        <f t="shared" ref="Z335:Z338" si="563">U335+Y335</f>
        <v>0</v>
      </c>
      <c r="AA335" s="494">
        <f t="shared" ref="AA335:AA338" si="564">ROUND((U335+Y335)*33.8%,0)</f>
        <v>0</v>
      </c>
      <c r="AB335" s="494">
        <f t="shared" ref="AB335:AB338" si="565">ROUND(U335*1%,0)</f>
        <v>0</v>
      </c>
      <c r="AC335" s="14">
        <v>0</v>
      </c>
      <c r="AD335" s="892">
        <f t="shared" si="560"/>
        <v>0</v>
      </c>
      <c r="AE335" s="702">
        <v>0</v>
      </c>
      <c r="AF335" s="702">
        <v>0</v>
      </c>
      <c r="AG335" s="491">
        <v>0</v>
      </c>
      <c r="AH335" s="491">
        <v>0</v>
      </c>
      <c r="AI335" s="491">
        <v>0</v>
      </c>
      <c r="AJ335" s="491">
        <v>0</v>
      </c>
      <c r="AK335" s="626">
        <f>SUM(AE335:AJ335)</f>
        <v>0</v>
      </c>
      <c r="AL335" s="696">
        <f>I335+AD335</f>
        <v>3220579</v>
      </c>
      <c r="AM335" s="492">
        <f>J335+U335</f>
        <v>2389154</v>
      </c>
      <c r="AN335" s="492">
        <f>Y335</f>
        <v>0</v>
      </c>
      <c r="AO335" s="492">
        <f t="shared" ref="AO335:AQ338" si="566">K335+AA335</f>
        <v>807534</v>
      </c>
      <c r="AP335" s="492">
        <f t="shared" si="566"/>
        <v>23891</v>
      </c>
      <c r="AQ335" s="578">
        <f t="shared" si="566"/>
        <v>0</v>
      </c>
      <c r="AR335" s="626">
        <f>N335+AK335</f>
        <v>4</v>
      </c>
    </row>
    <row r="336" spans="1:44" ht="14.1" customHeight="1" x14ac:dyDescent="0.2">
      <c r="A336" s="499">
        <v>82</v>
      </c>
      <c r="B336" s="512">
        <v>2445</v>
      </c>
      <c r="C336" s="513">
        <v>600080030</v>
      </c>
      <c r="D336" s="512">
        <v>70695997</v>
      </c>
      <c r="E336" s="511" t="s">
        <v>672</v>
      </c>
      <c r="F336" s="499">
        <v>3117</v>
      </c>
      <c r="G336" s="511" t="s">
        <v>280</v>
      </c>
      <c r="H336" s="495" t="s">
        <v>262</v>
      </c>
      <c r="I336" s="627">
        <f t="shared" si="558"/>
        <v>4308824</v>
      </c>
      <c r="J336" s="14">
        <v>3196457</v>
      </c>
      <c r="K336" s="14">
        <v>1080402</v>
      </c>
      <c r="L336" s="14">
        <v>31965</v>
      </c>
      <c r="M336" s="14">
        <v>0</v>
      </c>
      <c r="N336" s="121">
        <v>4.6753</v>
      </c>
      <c r="O336" s="696">
        <f t="shared" si="559"/>
        <v>0</v>
      </c>
      <c r="P336" s="492">
        <v>0</v>
      </c>
      <c r="Q336" s="492">
        <v>0</v>
      </c>
      <c r="R336" s="492">
        <v>0</v>
      </c>
      <c r="S336" s="492">
        <v>0</v>
      </c>
      <c r="T336" s="492">
        <v>0</v>
      </c>
      <c r="U336" s="492">
        <f>O336+P336+Q336+R336+S336+T336</f>
        <v>0</v>
      </c>
      <c r="V336" s="492">
        <v>0</v>
      </c>
      <c r="W336" s="492">
        <v>0</v>
      </c>
      <c r="X336" s="492">
        <v>0</v>
      </c>
      <c r="Y336" s="492">
        <f t="shared" si="562"/>
        <v>0</v>
      </c>
      <c r="Z336" s="492">
        <f t="shared" si="563"/>
        <v>0</v>
      </c>
      <c r="AA336" s="494">
        <f t="shared" si="564"/>
        <v>0</v>
      </c>
      <c r="AB336" s="494">
        <f t="shared" si="565"/>
        <v>0</v>
      </c>
      <c r="AC336" s="14">
        <v>0</v>
      </c>
      <c r="AD336" s="892">
        <f t="shared" si="560"/>
        <v>0</v>
      </c>
      <c r="AE336" s="702">
        <v>0</v>
      </c>
      <c r="AF336" s="702">
        <v>0</v>
      </c>
      <c r="AG336" s="491">
        <v>0</v>
      </c>
      <c r="AH336" s="491">
        <v>0</v>
      </c>
      <c r="AI336" s="491">
        <v>0</v>
      </c>
      <c r="AJ336" s="491">
        <v>0</v>
      </c>
      <c r="AK336" s="626">
        <f>SUM(AE336:AJ336)</f>
        <v>0</v>
      </c>
      <c r="AL336" s="696">
        <f>I336+AD336</f>
        <v>4308824</v>
      </c>
      <c r="AM336" s="492">
        <f>J336+U336</f>
        <v>3196457</v>
      </c>
      <c r="AN336" s="492">
        <f>Y336</f>
        <v>0</v>
      </c>
      <c r="AO336" s="492">
        <f t="shared" si="566"/>
        <v>1080402</v>
      </c>
      <c r="AP336" s="492">
        <f t="shared" si="566"/>
        <v>31965</v>
      </c>
      <c r="AQ336" s="578">
        <f t="shared" si="566"/>
        <v>0</v>
      </c>
      <c r="AR336" s="626">
        <f>N336+AK336</f>
        <v>4.6753</v>
      </c>
    </row>
    <row r="337" spans="1:44" ht="14.1" customHeight="1" x14ac:dyDescent="0.2">
      <c r="A337" s="499">
        <v>82</v>
      </c>
      <c r="B337" s="512">
        <v>2445</v>
      </c>
      <c r="C337" s="513">
        <v>600080030</v>
      </c>
      <c r="D337" s="512">
        <v>70695997</v>
      </c>
      <c r="E337" s="511" t="s">
        <v>672</v>
      </c>
      <c r="F337" s="499">
        <v>3117</v>
      </c>
      <c r="G337" s="514" t="s">
        <v>278</v>
      </c>
      <c r="H337" s="495" t="s">
        <v>263</v>
      </c>
      <c r="I337" s="627">
        <f t="shared" si="558"/>
        <v>0</v>
      </c>
      <c r="J337" s="490">
        <v>0</v>
      </c>
      <c r="K337" s="14">
        <v>0</v>
      </c>
      <c r="L337" s="14">
        <v>0</v>
      </c>
      <c r="M337" s="14">
        <v>0</v>
      </c>
      <c r="N337" s="682">
        <v>0</v>
      </c>
      <c r="O337" s="696">
        <f t="shared" si="559"/>
        <v>-65000</v>
      </c>
      <c r="P337" s="490">
        <v>1349482</v>
      </c>
      <c r="Q337" s="492">
        <v>0</v>
      </c>
      <c r="R337" s="492">
        <v>0</v>
      </c>
      <c r="S337" s="492">
        <v>0</v>
      </c>
      <c r="T337" s="492">
        <v>0</v>
      </c>
      <c r="U337" s="492">
        <f>O337+P337+Q337+R337+S337+T337</f>
        <v>1284482</v>
      </c>
      <c r="V337" s="492">
        <v>65000</v>
      </c>
      <c r="W337" s="492">
        <v>0</v>
      </c>
      <c r="X337" s="492">
        <v>0</v>
      </c>
      <c r="Y337" s="492">
        <f t="shared" si="562"/>
        <v>65000</v>
      </c>
      <c r="Z337" s="492">
        <f t="shared" si="563"/>
        <v>1349482</v>
      </c>
      <c r="AA337" s="494">
        <f t="shared" si="564"/>
        <v>456125</v>
      </c>
      <c r="AB337" s="494">
        <f t="shared" si="565"/>
        <v>12845</v>
      </c>
      <c r="AC337" s="14">
        <v>0</v>
      </c>
      <c r="AD337" s="892">
        <f t="shared" si="560"/>
        <v>1818452</v>
      </c>
      <c r="AE337" s="702">
        <v>-0.09</v>
      </c>
      <c r="AF337" s="121">
        <v>3.3</v>
      </c>
      <c r="AG337" s="491">
        <v>0</v>
      </c>
      <c r="AH337" s="491">
        <v>0</v>
      </c>
      <c r="AI337" s="491">
        <v>0</v>
      </c>
      <c r="AJ337" s="491">
        <v>0</v>
      </c>
      <c r="AK337" s="626">
        <f>SUM(AE337:AJ337)</f>
        <v>3.21</v>
      </c>
      <c r="AL337" s="696">
        <f>I337+AD337</f>
        <v>1818452</v>
      </c>
      <c r="AM337" s="492">
        <f>J337+U337</f>
        <v>1284482</v>
      </c>
      <c r="AN337" s="492">
        <f>Y337</f>
        <v>65000</v>
      </c>
      <c r="AO337" s="492">
        <f t="shared" si="566"/>
        <v>456125</v>
      </c>
      <c r="AP337" s="492">
        <f t="shared" si="566"/>
        <v>12845</v>
      </c>
      <c r="AQ337" s="578">
        <f t="shared" si="566"/>
        <v>0</v>
      </c>
      <c r="AR337" s="626">
        <f>N337+AK337</f>
        <v>3.21</v>
      </c>
    </row>
    <row r="338" spans="1:44" ht="14.1" customHeight="1" x14ac:dyDescent="0.2">
      <c r="A338" s="499">
        <v>82</v>
      </c>
      <c r="B338" s="512">
        <v>2445</v>
      </c>
      <c r="C338" s="513">
        <v>600080030</v>
      </c>
      <c r="D338" s="512">
        <v>70695997</v>
      </c>
      <c r="E338" s="511" t="s">
        <v>672</v>
      </c>
      <c r="F338" s="499">
        <v>3143</v>
      </c>
      <c r="G338" s="514" t="s">
        <v>795</v>
      </c>
      <c r="H338" s="495" t="s">
        <v>262</v>
      </c>
      <c r="I338" s="627">
        <f t="shared" si="558"/>
        <v>1542458</v>
      </c>
      <c r="J338" s="14">
        <v>1144256</v>
      </c>
      <c r="K338" s="14">
        <v>386759</v>
      </c>
      <c r="L338" s="14">
        <v>11443</v>
      </c>
      <c r="M338" s="14">
        <v>0</v>
      </c>
      <c r="N338" s="121">
        <v>2.1432000000000002</v>
      </c>
      <c r="O338" s="696">
        <f t="shared" si="559"/>
        <v>0</v>
      </c>
      <c r="P338" s="492">
        <v>0</v>
      </c>
      <c r="Q338" s="492">
        <v>0</v>
      </c>
      <c r="R338" s="492">
        <v>0</v>
      </c>
      <c r="S338" s="492">
        <v>0</v>
      </c>
      <c r="T338" s="492">
        <v>0</v>
      </c>
      <c r="U338" s="492">
        <f>O338+P338+Q338+R338+S338+T338</f>
        <v>0</v>
      </c>
      <c r="V338" s="492">
        <v>0</v>
      </c>
      <c r="W338" s="492">
        <v>0</v>
      </c>
      <c r="X338" s="492">
        <v>0</v>
      </c>
      <c r="Y338" s="492">
        <f t="shared" si="562"/>
        <v>0</v>
      </c>
      <c r="Z338" s="492">
        <f t="shared" si="563"/>
        <v>0</v>
      </c>
      <c r="AA338" s="494">
        <f t="shared" si="564"/>
        <v>0</v>
      </c>
      <c r="AB338" s="494">
        <f t="shared" si="565"/>
        <v>0</v>
      </c>
      <c r="AC338" s="14">
        <v>0</v>
      </c>
      <c r="AD338" s="892">
        <f t="shared" si="560"/>
        <v>0</v>
      </c>
      <c r="AE338" s="702">
        <v>0</v>
      </c>
      <c r="AF338" s="702">
        <v>0</v>
      </c>
      <c r="AG338" s="491">
        <v>0</v>
      </c>
      <c r="AH338" s="491">
        <v>0</v>
      </c>
      <c r="AI338" s="491">
        <v>0</v>
      </c>
      <c r="AJ338" s="491">
        <v>0</v>
      </c>
      <c r="AK338" s="626">
        <f>SUM(AE338:AJ338)</f>
        <v>0</v>
      </c>
      <c r="AL338" s="696">
        <f>I338+AD338</f>
        <v>1542458</v>
      </c>
      <c r="AM338" s="492">
        <f>J338+U338</f>
        <v>1144256</v>
      </c>
      <c r="AN338" s="492">
        <f>Y338</f>
        <v>0</v>
      </c>
      <c r="AO338" s="492">
        <f t="shared" si="566"/>
        <v>386759</v>
      </c>
      <c r="AP338" s="492">
        <f t="shared" si="566"/>
        <v>11443</v>
      </c>
      <c r="AQ338" s="578">
        <f t="shared" si="566"/>
        <v>0</v>
      </c>
      <c r="AR338" s="626">
        <f>N338+AK338</f>
        <v>2.1432000000000002</v>
      </c>
    </row>
    <row r="339" spans="1:44" ht="14.1" customHeight="1" x14ac:dyDescent="0.2">
      <c r="A339" s="510">
        <v>82</v>
      </c>
      <c r="B339" s="508">
        <v>2445</v>
      </c>
      <c r="C339" s="509">
        <v>600080030</v>
      </c>
      <c r="D339" s="508">
        <v>70695997</v>
      </c>
      <c r="E339" s="506" t="s">
        <v>673</v>
      </c>
      <c r="F339" s="510"/>
      <c r="G339" s="506"/>
      <c r="H339" s="505"/>
      <c r="I339" s="629">
        <f t="shared" ref="I339:AR339" si="567">SUM(I335:I338)</f>
        <v>9071861</v>
      </c>
      <c r="J339" s="504">
        <f t="shared" si="567"/>
        <v>6729867</v>
      </c>
      <c r="K339" s="504">
        <f t="shared" si="567"/>
        <v>2274695</v>
      </c>
      <c r="L339" s="504">
        <f t="shared" si="567"/>
        <v>67299</v>
      </c>
      <c r="M339" s="504">
        <f t="shared" si="567"/>
        <v>0</v>
      </c>
      <c r="N339" s="885">
        <f t="shared" si="567"/>
        <v>10.8185</v>
      </c>
      <c r="O339" s="629">
        <f t="shared" si="567"/>
        <v>-65000</v>
      </c>
      <c r="P339" s="503">
        <f t="shared" si="567"/>
        <v>1349482</v>
      </c>
      <c r="Q339" s="503">
        <f t="shared" si="567"/>
        <v>0</v>
      </c>
      <c r="R339" s="503">
        <f t="shared" si="567"/>
        <v>0</v>
      </c>
      <c r="S339" s="503">
        <f t="shared" si="567"/>
        <v>0</v>
      </c>
      <c r="T339" s="503">
        <f t="shared" si="567"/>
        <v>0</v>
      </c>
      <c r="U339" s="503">
        <f t="shared" si="567"/>
        <v>1284482</v>
      </c>
      <c r="V339" s="503">
        <f t="shared" si="567"/>
        <v>65000</v>
      </c>
      <c r="W339" s="503">
        <f t="shared" si="567"/>
        <v>0</v>
      </c>
      <c r="X339" s="503">
        <f t="shared" si="567"/>
        <v>0</v>
      </c>
      <c r="Y339" s="503">
        <f t="shared" si="567"/>
        <v>65000</v>
      </c>
      <c r="Z339" s="503">
        <f t="shared" si="567"/>
        <v>1349482</v>
      </c>
      <c r="AA339" s="503">
        <f t="shared" si="567"/>
        <v>456125</v>
      </c>
      <c r="AB339" s="503">
        <f t="shared" si="567"/>
        <v>12845</v>
      </c>
      <c r="AC339" s="503">
        <f t="shared" si="567"/>
        <v>0</v>
      </c>
      <c r="AD339" s="891">
        <f t="shared" si="567"/>
        <v>1818452</v>
      </c>
      <c r="AE339" s="701">
        <f t="shared" si="567"/>
        <v>-0.09</v>
      </c>
      <c r="AF339" s="701">
        <f t="shared" si="567"/>
        <v>3.3</v>
      </c>
      <c r="AG339" s="502">
        <f t="shared" si="567"/>
        <v>0</v>
      </c>
      <c r="AH339" s="502">
        <f t="shared" si="567"/>
        <v>0</v>
      </c>
      <c r="AI339" s="502">
        <f t="shared" si="567"/>
        <v>0</v>
      </c>
      <c r="AJ339" s="502">
        <f t="shared" si="567"/>
        <v>0</v>
      </c>
      <c r="AK339" s="630">
        <f t="shared" si="567"/>
        <v>3.21</v>
      </c>
      <c r="AL339" s="629">
        <f t="shared" si="567"/>
        <v>10890313</v>
      </c>
      <c r="AM339" s="503">
        <f t="shared" si="567"/>
        <v>8014349</v>
      </c>
      <c r="AN339" s="552">
        <f t="shared" si="567"/>
        <v>65000</v>
      </c>
      <c r="AO339" s="503">
        <f t="shared" si="567"/>
        <v>2730820</v>
      </c>
      <c r="AP339" s="503">
        <f t="shared" si="567"/>
        <v>80144</v>
      </c>
      <c r="AQ339" s="503">
        <f t="shared" si="567"/>
        <v>0</v>
      </c>
      <c r="AR339" s="630">
        <f t="shared" si="567"/>
        <v>14.028500000000001</v>
      </c>
    </row>
    <row r="340" spans="1:44" ht="14.1" customHeight="1" x14ac:dyDescent="0.2">
      <c r="A340" s="499">
        <v>83</v>
      </c>
      <c r="B340" s="512">
        <v>2495</v>
      </c>
      <c r="C340" s="513">
        <v>600080196</v>
      </c>
      <c r="D340" s="512">
        <v>70983810</v>
      </c>
      <c r="E340" s="511" t="s">
        <v>674</v>
      </c>
      <c r="F340" s="499">
        <v>3111</v>
      </c>
      <c r="G340" s="511" t="s">
        <v>277</v>
      </c>
      <c r="H340" s="495" t="s">
        <v>262</v>
      </c>
      <c r="I340" s="627">
        <f t="shared" si="558"/>
        <v>4741450</v>
      </c>
      <c r="J340" s="14">
        <v>3517396</v>
      </c>
      <c r="K340" s="14">
        <v>1188880</v>
      </c>
      <c r="L340" s="14">
        <v>35174</v>
      </c>
      <c r="M340" s="14">
        <v>0</v>
      </c>
      <c r="N340" s="121">
        <v>5.8326000000000002</v>
      </c>
      <c r="O340" s="696">
        <f t="shared" si="559"/>
        <v>0</v>
      </c>
      <c r="P340" s="492">
        <v>0</v>
      </c>
      <c r="Q340" s="492">
        <v>0</v>
      </c>
      <c r="R340" s="492">
        <v>0</v>
      </c>
      <c r="S340" s="492">
        <v>0</v>
      </c>
      <c r="T340" s="492">
        <v>0</v>
      </c>
      <c r="U340" s="492">
        <f>O340+P340+Q340+R340+S340+T340</f>
        <v>0</v>
      </c>
      <c r="V340" s="492">
        <v>0</v>
      </c>
      <c r="W340" s="492">
        <v>0</v>
      </c>
      <c r="X340" s="492">
        <v>0</v>
      </c>
      <c r="Y340" s="492">
        <f t="shared" ref="Y340:Y343" si="568">V340+W340+X340</f>
        <v>0</v>
      </c>
      <c r="Z340" s="492">
        <f t="shared" ref="Z340:Z343" si="569">U340+Y340</f>
        <v>0</v>
      </c>
      <c r="AA340" s="494">
        <f t="shared" ref="AA340:AA343" si="570">ROUND((U340+Y340)*33.8%,0)</f>
        <v>0</v>
      </c>
      <c r="AB340" s="494">
        <f t="shared" ref="AB340:AB343" si="571">ROUND(U340*1%,0)</f>
        <v>0</v>
      </c>
      <c r="AC340" s="14">
        <v>0</v>
      </c>
      <c r="AD340" s="892">
        <f t="shared" si="560"/>
        <v>0</v>
      </c>
      <c r="AE340" s="702">
        <v>0</v>
      </c>
      <c r="AF340" s="702">
        <v>0</v>
      </c>
      <c r="AG340" s="491">
        <v>0</v>
      </c>
      <c r="AH340" s="491">
        <v>0</v>
      </c>
      <c r="AI340" s="491">
        <v>0</v>
      </c>
      <c r="AJ340" s="491">
        <v>0</v>
      </c>
      <c r="AK340" s="626">
        <f>SUM(AE340:AJ340)</f>
        <v>0</v>
      </c>
      <c r="AL340" s="696">
        <f>I340+AD340</f>
        <v>4741450</v>
      </c>
      <c r="AM340" s="492">
        <f>J340+U340</f>
        <v>3517396</v>
      </c>
      <c r="AN340" s="492">
        <f>Y340</f>
        <v>0</v>
      </c>
      <c r="AO340" s="492">
        <f t="shared" ref="AO340:AQ343" si="572">K340+AA340</f>
        <v>1188880</v>
      </c>
      <c r="AP340" s="492">
        <f t="shared" si="572"/>
        <v>35174</v>
      </c>
      <c r="AQ340" s="578">
        <f t="shared" si="572"/>
        <v>0</v>
      </c>
      <c r="AR340" s="626">
        <f>N340+AK340</f>
        <v>5.8326000000000002</v>
      </c>
    </row>
    <row r="341" spans="1:44" ht="14.1" customHeight="1" x14ac:dyDescent="0.2">
      <c r="A341" s="499">
        <v>83</v>
      </c>
      <c r="B341" s="512">
        <v>2495</v>
      </c>
      <c r="C341" s="513">
        <v>600080196</v>
      </c>
      <c r="D341" s="512">
        <v>70983810</v>
      </c>
      <c r="E341" s="511" t="s">
        <v>674</v>
      </c>
      <c r="F341" s="499">
        <v>3113</v>
      </c>
      <c r="G341" s="511" t="s">
        <v>280</v>
      </c>
      <c r="H341" s="495" t="s">
        <v>262</v>
      </c>
      <c r="I341" s="627">
        <f t="shared" si="558"/>
        <v>14446421</v>
      </c>
      <c r="J341" s="14">
        <v>10716930</v>
      </c>
      <c r="K341" s="14">
        <v>3622322</v>
      </c>
      <c r="L341" s="14">
        <v>107169</v>
      </c>
      <c r="M341" s="14">
        <v>0</v>
      </c>
      <c r="N341" s="121">
        <v>13.7677</v>
      </c>
      <c r="O341" s="696">
        <f t="shared" si="559"/>
        <v>0</v>
      </c>
      <c r="P341" s="492">
        <v>0</v>
      </c>
      <c r="Q341" s="492">
        <v>0</v>
      </c>
      <c r="R341" s="492">
        <v>0</v>
      </c>
      <c r="S341" s="492">
        <v>0</v>
      </c>
      <c r="T341" s="492">
        <v>0</v>
      </c>
      <c r="U341" s="492">
        <f>O341+P341+Q341+R341+S341+T341</f>
        <v>0</v>
      </c>
      <c r="V341" s="492">
        <v>0</v>
      </c>
      <c r="W341" s="492">
        <v>0</v>
      </c>
      <c r="X341" s="492">
        <v>0</v>
      </c>
      <c r="Y341" s="492">
        <f t="shared" si="568"/>
        <v>0</v>
      </c>
      <c r="Z341" s="492">
        <f t="shared" si="569"/>
        <v>0</v>
      </c>
      <c r="AA341" s="494">
        <f t="shared" si="570"/>
        <v>0</v>
      </c>
      <c r="AB341" s="494">
        <f t="shared" si="571"/>
        <v>0</v>
      </c>
      <c r="AC341" s="14">
        <v>0</v>
      </c>
      <c r="AD341" s="892">
        <f t="shared" si="560"/>
        <v>0</v>
      </c>
      <c r="AE341" s="702">
        <v>0</v>
      </c>
      <c r="AF341" s="702">
        <v>0</v>
      </c>
      <c r="AG341" s="491">
        <v>0</v>
      </c>
      <c r="AH341" s="491">
        <v>0</v>
      </c>
      <c r="AI341" s="491">
        <v>0</v>
      </c>
      <c r="AJ341" s="491">
        <v>0</v>
      </c>
      <c r="AK341" s="626">
        <f>SUM(AE341:AJ341)</f>
        <v>0</v>
      </c>
      <c r="AL341" s="696">
        <f>I341+AD341</f>
        <v>14446421</v>
      </c>
      <c r="AM341" s="492">
        <f>J341+U341</f>
        <v>10716930</v>
      </c>
      <c r="AN341" s="492">
        <f>Y341</f>
        <v>0</v>
      </c>
      <c r="AO341" s="492">
        <f t="shared" si="572"/>
        <v>3622322</v>
      </c>
      <c r="AP341" s="492">
        <f t="shared" si="572"/>
        <v>107169</v>
      </c>
      <c r="AQ341" s="578">
        <f t="shared" si="572"/>
        <v>0</v>
      </c>
      <c r="AR341" s="626">
        <f>N341+AK341</f>
        <v>13.7677</v>
      </c>
    </row>
    <row r="342" spans="1:44" ht="14.1" customHeight="1" x14ac:dyDescent="0.2">
      <c r="A342" s="499">
        <v>83</v>
      </c>
      <c r="B342" s="512">
        <v>2495</v>
      </c>
      <c r="C342" s="513">
        <v>600080196</v>
      </c>
      <c r="D342" s="512">
        <v>70983810</v>
      </c>
      <c r="E342" s="511" t="s">
        <v>674</v>
      </c>
      <c r="F342" s="499">
        <v>3113</v>
      </c>
      <c r="G342" s="514" t="s">
        <v>278</v>
      </c>
      <c r="H342" s="495" t="s">
        <v>263</v>
      </c>
      <c r="I342" s="627">
        <f t="shared" si="558"/>
        <v>0</v>
      </c>
      <c r="J342" s="490">
        <v>0</v>
      </c>
      <c r="K342" s="14">
        <v>0</v>
      </c>
      <c r="L342" s="14">
        <v>0</v>
      </c>
      <c r="M342" s="14">
        <v>0</v>
      </c>
      <c r="N342" s="682">
        <v>0</v>
      </c>
      <c r="O342" s="696">
        <f t="shared" si="559"/>
        <v>0</v>
      </c>
      <c r="P342" s="490">
        <v>1729241</v>
      </c>
      <c r="Q342" s="492">
        <v>0</v>
      </c>
      <c r="R342" s="492">
        <v>0</v>
      </c>
      <c r="S342" s="492">
        <v>0</v>
      </c>
      <c r="T342" s="492">
        <v>0</v>
      </c>
      <c r="U342" s="492">
        <f>O342+P342+Q342+R342+S342+T342</f>
        <v>1729241</v>
      </c>
      <c r="V342" s="492">
        <v>0</v>
      </c>
      <c r="W342" s="492">
        <v>0</v>
      </c>
      <c r="X342" s="492">
        <v>0</v>
      </c>
      <c r="Y342" s="492">
        <f t="shared" si="568"/>
        <v>0</v>
      </c>
      <c r="Z342" s="492">
        <f t="shared" si="569"/>
        <v>1729241</v>
      </c>
      <c r="AA342" s="494">
        <f t="shared" si="570"/>
        <v>584483</v>
      </c>
      <c r="AB342" s="494">
        <f t="shared" si="571"/>
        <v>17292</v>
      </c>
      <c r="AC342" s="14">
        <v>0</v>
      </c>
      <c r="AD342" s="892">
        <f t="shared" si="560"/>
        <v>2331016</v>
      </c>
      <c r="AE342" s="702">
        <v>0</v>
      </c>
      <c r="AF342" s="121">
        <v>3.99</v>
      </c>
      <c r="AG342" s="491">
        <v>0</v>
      </c>
      <c r="AH342" s="491">
        <v>0</v>
      </c>
      <c r="AI342" s="491">
        <v>0</v>
      </c>
      <c r="AJ342" s="491">
        <v>0</v>
      </c>
      <c r="AK342" s="626">
        <f>SUM(AE342:AJ342)</f>
        <v>3.99</v>
      </c>
      <c r="AL342" s="696">
        <f>I342+AD342</f>
        <v>2331016</v>
      </c>
      <c r="AM342" s="492">
        <f>J342+U342</f>
        <v>1729241</v>
      </c>
      <c r="AN342" s="492">
        <f>Y342</f>
        <v>0</v>
      </c>
      <c r="AO342" s="492">
        <f t="shared" si="572"/>
        <v>584483</v>
      </c>
      <c r="AP342" s="492">
        <f t="shared" si="572"/>
        <v>17292</v>
      </c>
      <c r="AQ342" s="578">
        <f t="shared" si="572"/>
        <v>0</v>
      </c>
      <c r="AR342" s="626">
        <f>N342+AK342</f>
        <v>3.99</v>
      </c>
    </row>
    <row r="343" spans="1:44" ht="14.1" customHeight="1" x14ac:dyDescent="0.2">
      <c r="A343" s="499">
        <v>83</v>
      </c>
      <c r="B343" s="512">
        <v>2495</v>
      </c>
      <c r="C343" s="513">
        <v>600080196</v>
      </c>
      <c r="D343" s="512">
        <v>70983810</v>
      </c>
      <c r="E343" s="511" t="s">
        <v>674</v>
      </c>
      <c r="F343" s="499">
        <v>3143</v>
      </c>
      <c r="G343" s="514" t="s">
        <v>794</v>
      </c>
      <c r="H343" s="495" t="s">
        <v>262</v>
      </c>
      <c r="I343" s="627">
        <f t="shared" si="558"/>
        <v>2210552</v>
      </c>
      <c r="J343" s="14">
        <v>1639875</v>
      </c>
      <c r="K343" s="14">
        <v>554278</v>
      </c>
      <c r="L343" s="14">
        <v>16399</v>
      </c>
      <c r="M343" s="14">
        <v>0</v>
      </c>
      <c r="N343" s="121">
        <v>2.9630000000000001</v>
      </c>
      <c r="O343" s="696">
        <f t="shared" si="559"/>
        <v>0</v>
      </c>
      <c r="P343" s="492">
        <v>0</v>
      </c>
      <c r="Q343" s="492">
        <v>0</v>
      </c>
      <c r="R343" s="492">
        <v>0</v>
      </c>
      <c r="S343" s="492">
        <v>0</v>
      </c>
      <c r="T343" s="492">
        <v>0</v>
      </c>
      <c r="U343" s="492">
        <f>O343+P343+Q343+R343+S343+T343</f>
        <v>0</v>
      </c>
      <c r="V343" s="492">
        <v>0</v>
      </c>
      <c r="W343" s="492">
        <v>0</v>
      </c>
      <c r="X343" s="492">
        <v>0</v>
      </c>
      <c r="Y343" s="492">
        <f t="shared" si="568"/>
        <v>0</v>
      </c>
      <c r="Z343" s="492">
        <f t="shared" si="569"/>
        <v>0</v>
      </c>
      <c r="AA343" s="494">
        <f t="shared" si="570"/>
        <v>0</v>
      </c>
      <c r="AB343" s="494">
        <f t="shared" si="571"/>
        <v>0</v>
      </c>
      <c r="AC343" s="14">
        <v>0</v>
      </c>
      <c r="AD343" s="892">
        <f t="shared" si="560"/>
        <v>0</v>
      </c>
      <c r="AE343" s="702">
        <v>0</v>
      </c>
      <c r="AF343" s="702">
        <v>0</v>
      </c>
      <c r="AG343" s="491">
        <v>0</v>
      </c>
      <c r="AH343" s="491">
        <v>0</v>
      </c>
      <c r="AI343" s="491">
        <v>0</v>
      </c>
      <c r="AJ343" s="491">
        <v>0</v>
      </c>
      <c r="AK343" s="626">
        <f>SUM(AE343:AJ343)</f>
        <v>0</v>
      </c>
      <c r="AL343" s="696">
        <f>I343+AD343</f>
        <v>2210552</v>
      </c>
      <c r="AM343" s="492">
        <f>J343+U343</f>
        <v>1639875</v>
      </c>
      <c r="AN343" s="492">
        <f>Y343</f>
        <v>0</v>
      </c>
      <c r="AO343" s="492">
        <f t="shared" si="572"/>
        <v>554278</v>
      </c>
      <c r="AP343" s="492">
        <f t="shared" si="572"/>
        <v>16399</v>
      </c>
      <c r="AQ343" s="578">
        <f t="shared" si="572"/>
        <v>0</v>
      </c>
      <c r="AR343" s="626">
        <f>N343+AK343</f>
        <v>2.9630000000000001</v>
      </c>
    </row>
    <row r="344" spans="1:44" ht="14.1" customHeight="1" x14ac:dyDescent="0.2">
      <c r="A344" s="510">
        <v>83</v>
      </c>
      <c r="B344" s="508">
        <v>2495</v>
      </c>
      <c r="C344" s="509">
        <v>600080196</v>
      </c>
      <c r="D344" s="508">
        <v>70983810</v>
      </c>
      <c r="E344" s="506" t="s">
        <v>675</v>
      </c>
      <c r="F344" s="510"/>
      <c r="G344" s="506"/>
      <c r="H344" s="505"/>
      <c r="I344" s="629">
        <f t="shared" ref="I344:AR344" si="573">SUM(I340:I343)</f>
        <v>21398423</v>
      </c>
      <c r="J344" s="504">
        <f t="shared" si="573"/>
        <v>15874201</v>
      </c>
      <c r="K344" s="504">
        <f t="shared" si="573"/>
        <v>5365480</v>
      </c>
      <c r="L344" s="504">
        <f t="shared" si="573"/>
        <v>158742</v>
      </c>
      <c r="M344" s="504">
        <f t="shared" si="573"/>
        <v>0</v>
      </c>
      <c r="N344" s="885">
        <f t="shared" si="573"/>
        <v>22.563300000000002</v>
      </c>
      <c r="O344" s="629">
        <f t="shared" si="573"/>
        <v>0</v>
      </c>
      <c r="P344" s="503">
        <f t="shared" si="573"/>
        <v>1729241</v>
      </c>
      <c r="Q344" s="503">
        <f t="shared" si="573"/>
        <v>0</v>
      </c>
      <c r="R344" s="503">
        <f t="shared" si="573"/>
        <v>0</v>
      </c>
      <c r="S344" s="503">
        <f t="shared" si="573"/>
        <v>0</v>
      </c>
      <c r="T344" s="503">
        <f t="shared" si="573"/>
        <v>0</v>
      </c>
      <c r="U344" s="503">
        <f t="shared" si="573"/>
        <v>1729241</v>
      </c>
      <c r="V344" s="503">
        <f t="shared" si="573"/>
        <v>0</v>
      </c>
      <c r="W344" s="503">
        <f t="shared" si="573"/>
        <v>0</v>
      </c>
      <c r="X344" s="503">
        <f t="shared" si="573"/>
        <v>0</v>
      </c>
      <c r="Y344" s="503">
        <f t="shared" si="573"/>
        <v>0</v>
      </c>
      <c r="Z344" s="503">
        <f t="shared" si="573"/>
        <v>1729241</v>
      </c>
      <c r="AA344" s="503">
        <f t="shared" si="573"/>
        <v>584483</v>
      </c>
      <c r="AB344" s="503">
        <f t="shared" si="573"/>
        <v>17292</v>
      </c>
      <c r="AC344" s="503">
        <f t="shared" si="573"/>
        <v>0</v>
      </c>
      <c r="AD344" s="891">
        <f t="shared" si="573"/>
        <v>2331016</v>
      </c>
      <c r="AE344" s="701">
        <f t="shared" si="573"/>
        <v>0</v>
      </c>
      <c r="AF344" s="701">
        <f t="shared" si="573"/>
        <v>3.99</v>
      </c>
      <c r="AG344" s="502">
        <f t="shared" si="573"/>
        <v>0</v>
      </c>
      <c r="AH344" s="502">
        <f t="shared" si="573"/>
        <v>0</v>
      </c>
      <c r="AI344" s="502">
        <f t="shared" si="573"/>
        <v>0</v>
      </c>
      <c r="AJ344" s="502">
        <f t="shared" si="573"/>
        <v>0</v>
      </c>
      <c r="AK344" s="630">
        <f t="shared" si="573"/>
        <v>3.99</v>
      </c>
      <c r="AL344" s="629">
        <f t="shared" si="573"/>
        <v>23729439</v>
      </c>
      <c r="AM344" s="503">
        <f t="shared" si="573"/>
        <v>17603442</v>
      </c>
      <c r="AN344" s="552">
        <f t="shared" si="573"/>
        <v>0</v>
      </c>
      <c r="AO344" s="503">
        <f t="shared" si="573"/>
        <v>5949963</v>
      </c>
      <c r="AP344" s="503">
        <f t="shared" si="573"/>
        <v>176034</v>
      </c>
      <c r="AQ344" s="503">
        <f t="shared" si="573"/>
        <v>0</v>
      </c>
      <c r="AR344" s="630">
        <f t="shared" si="573"/>
        <v>26.5533</v>
      </c>
    </row>
    <row r="345" spans="1:44" ht="14.1" customHeight="1" x14ac:dyDescent="0.2">
      <c r="A345" s="499">
        <v>84</v>
      </c>
      <c r="B345" s="512">
        <v>2305</v>
      </c>
      <c r="C345" s="513">
        <v>650026080</v>
      </c>
      <c r="D345" s="512">
        <v>72741686</v>
      </c>
      <c r="E345" s="511" t="s">
        <v>676</v>
      </c>
      <c r="F345" s="499">
        <v>3111</v>
      </c>
      <c r="G345" s="511" t="s">
        <v>277</v>
      </c>
      <c r="H345" s="495" t="s">
        <v>262</v>
      </c>
      <c r="I345" s="627">
        <f t="shared" si="558"/>
        <v>3219662</v>
      </c>
      <c r="J345" s="14">
        <v>2388473</v>
      </c>
      <c r="K345" s="14">
        <v>807304</v>
      </c>
      <c r="L345" s="14">
        <v>23885</v>
      </c>
      <c r="M345" s="14">
        <v>0</v>
      </c>
      <c r="N345" s="121">
        <v>3.871</v>
      </c>
      <c r="O345" s="696">
        <f t="shared" si="559"/>
        <v>0</v>
      </c>
      <c r="P345" s="492">
        <v>0</v>
      </c>
      <c r="Q345" s="492">
        <v>0</v>
      </c>
      <c r="R345" s="492">
        <v>0</v>
      </c>
      <c r="S345" s="492">
        <v>0</v>
      </c>
      <c r="T345" s="492">
        <v>0</v>
      </c>
      <c r="U345" s="492">
        <f>O345+P345+Q345+R345+S345+T345</f>
        <v>0</v>
      </c>
      <c r="V345" s="492">
        <v>0</v>
      </c>
      <c r="W345" s="492">
        <v>0</v>
      </c>
      <c r="X345" s="492">
        <v>0</v>
      </c>
      <c r="Y345" s="492">
        <f t="shared" ref="Y345:Y348" si="574">V345+W345+X345</f>
        <v>0</v>
      </c>
      <c r="Z345" s="492">
        <f t="shared" ref="Z345:Z348" si="575">U345+Y345</f>
        <v>0</v>
      </c>
      <c r="AA345" s="494">
        <f t="shared" ref="AA345:AA348" si="576">ROUND((U345+Y345)*33.8%,0)</f>
        <v>0</v>
      </c>
      <c r="AB345" s="494">
        <f t="shared" ref="AB345:AB348" si="577">ROUND(U345*1%,0)</f>
        <v>0</v>
      </c>
      <c r="AC345" s="14">
        <v>0</v>
      </c>
      <c r="AD345" s="892">
        <f t="shared" si="560"/>
        <v>0</v>
      </c>
      <c r="AE345" s="702">
        <v>0</v>
      </c>
      <c r="AF345" s="702">
        <v>0</v>
      </c>
      <c r="AG345" s="491">
        <v>0</v>
      </c>
      <c r="AH345" s="491">
        <v>0</v>
      </c>
      <c r="AI345" s="491">
        <v>0</v>
      </c>
      <c r="AJ345" s="491">
        <v>0</v>
      </c>
      <c r="AK345" s="626">
        <f>SUM(AE345:AJ345)</f>
        <v>0</v>
      </c>
      <c r="AL345" s="696">
        <f>I345+AD345</f>
        <v>3219662</v>
      </c>
      <c r="AM345" s="492">
        <f>J345+U345</f>
        <v>2388473</v>
      </c>
      <c r="AN345" s="492">
        <f>Y345</f>
        <v>0</v>
      </c>
      <c r="AO345" s="492">
        <f t="shared" ref="AO345:AQ348" si="578">K345+AA345</f>
        <v>807304</v>
      </c>
      <c r="AP345" s="492">
        <f t="shared" si="578"/>
        <v>23885</v>
      </c>
      <c r="AQ345" s="578">
        <f t="shared" si="578"/>
        <v>0</v>
      </c>
      <c r="AR345" s="626">
        <f>N345+AK345</f>
        <v>3.871</v>
      </c>
    </row>
    <row r="346" spans="1:44" ht="14.1" customHeight="1" x14ac:dyDescent="0.2">
      <c r="A346" s="499">
        <v>84</v>
      </c>
      <c r="B346" s="512">
        <v>2305</v>
      </c>
      <c r="C346" s="513">
        <v>650026080</v>
      </c>
      <c r="D346" s="512">
        <v>72741686</v>
      </c>
      <c r="E346" s="511" t="s">
        <v>676</v>
      </c>
      <c r="F346" s="499">
        <v>3117</v>
      </c>
      <c r="G346" s="511" t="s">
        <v>280</v>
      </c>
      <c r="H346" s="495" t="s">
        <v>262</v>
      </c>
      <c r="I346" s="627">
        <f t="shared" si="558"/>
        <v>8198289</v>
      </c>
      <c r="J346" s="14">
        <v>6081817</v>
      </c>
      <c r="K346" s="14">
        <v>2055654</v>
      </c>
      <c r="L346" s="14">
        <v>60818</v>
      </c>
      <c r="M346" s="14">
        <v>0</v>
      </c>
      <c r="N346" s="121">
        <v>8.9551999999999996</v>
      </c>
      <c r="O346" s="696">
        <f t="shared" si="559"/>
        <v>0</v>
      </c>
      <c r="P346" s="492">
        <v>0</v>
      </c>
      <c r="Q346" s="492">
        <v>0</v>
      </c>
      <c r="R346" s="492">
        <v>0</v>
      </c>
      <c r="S346" s="492">
        <v>0</v>
      </c>
      <c r="T346" s="492">
        <v>0</v>
      </c>
      <c r="U346" s="492">
        <f>O346+P346+Q346+R346+S346+T346</f>
        <v>0</v>
      </c>
      <c r="V346" s="492">
        <v>0</v>
      </c>
      <c r="W346" s="492">
        <v>0</v>
      </c>
      <c r="X346" s="492">
        <v>0</v>
      </c>
      <c r="Y346" s="492">
        <f t="shared" si="574"/>
        <v>0</v>
      </c>
      <c r="Z346" s="492">
        <f t="shared" si="575"/>
        <v>0</v>
      </c>
      <c r="AA346" s="494">
        <f t="shared" si="576"/>
        <v>0</v>
      </c>
      <c r="AB346" s="494">
        <f t="shared" si="577"/>
        <v>0</v>
      </c>
      <c r="AC346" s="14">
        <v>0</v>
      </c>
      <c r="AD346" s="892">
        <f t="shared" si="560"/>
        <v>0</v>
      </c>
      <c r="AE346" s="702">
        <v>0</v>
      </c>
      <c r="AF346" s="702">
        <v>0</v>
      </c>
      <c r="AG346" s="491">
        <v>0</v>
      </c>
      <c r="AH346" s="491">
        <v>0</v>
      </c>
      <c r="AI346" s="491">
        <v>0</v>
      </c>
      <c r="AJ346" s="491">
        <v>0</v>
      </c>
      <c r="AK346" s="626">
        <f>SUM(AE346:AJ346)</f>
        <v>0</v>
      </c>
      <c r="AL346" s="696">
        <f>I346+AD346</f>
        <v>8198289</v>
      </c>
      <c r="AM346" s="492">
        <f>J346+U346</f>
        <v>6081817</v>
      </c>
      <c r="AN346" s="492">
        <f>Y346</f>
        <v>0</v>
      </c>
      <c r="AO346" s="492">
        <f t="shared" si="578"/>
        <v>2055654</v>
      </c>
      <c r="AP346" s="492">
        <f t="shared" si="578"/>
        <v>60818</v>
      </c>
      <c r="AQ346" s="578">
        <f t="shared" si="578"/>
        <v>0</v>
      </c>
      <c r="AR346" s="626">
        <f>N346+AK346</f>
        <v>8.9551999999999996</v>
      </c>
    </row>
    <row r="347" spans="1:44" ht="14.1" customHeight="1" x14ac:dyDescent="0.2">
      <c r="A347" s="499">
        <v>84</v>
      </c>
      <c r="B347" s="512">
        <v>2305</v>
      </c>
      <c r="C347" s="513">
        <v>650026080</v>
      </c>
      <c r="D347" s="512">
        <v>72741686</v>
      </c>
      <c r="E347" s="511" t="s">
        <v>676</v>
      </c>
      <c r="F347" s="499">
        <v>3117</v>
      </c>
      <c r="G347" s="514" t="s">
        <v>278</v>
      </c>
      <c r="H347" s="495" t="s">
        <v>263</v>
      </c>
      <c r="I347" s="627">
        <f t="shared" si="558"/>
        <v>0</v>
      </c>
      <c r="J347" s="490">
        <v>0</v>
      </c>
      <c r="K347" s="14">
        <v>0</v>
      </c>
      <c r="L347" s="14">
        <v>0</v>
      </c>
      <c r="M347" s="14">
        <v>0</v>
      </c>
      <c r="N347" s="682">
        <v>0</v>
      </c>
      <c r="O347" s="696">
        <f t="shared" si="559"/>
        <v>0</v>
      </c>
      <c r="P347" s="490">
        <v>1448696</v>
      </c>
      <c r="Q347" s="492">
        <v>0</v>
      </c>
      <c r="R347" s="492">
        <v>0</v>
      </c>
      <c r="S347" s="492">
        <v>0</v>
      </c>
      <c r="T347" s="492">
        <v>0</v>
      </c>
      <c r="U347" s="492">
        <f>O347+P347+Q347+R347+S347+T347</f>
        <v>1448696</v>
      </c>
      <c r="V347" s="492">
        <v>0</v>
      </c>
      <c r="W347" s="492">
        <v>0</v>
      </c>
      <c r="X347" s="492">
        <v>0</v>
      </c>
      <c r="Y347" s="492">
        <f t="shared" si="574"/>
        <v>0</v>
      </c>
      <c r="Z347" s="492">
        <f t="shared" si="575"/>
        <v>1448696</v>
      </c>
      <c r="AA347" s="494">
        <f t="shared" si="576"/>
        <v>489659</v>
      </c>
      <c r="AB347" s="494">
        <f t="shared" si="577"/>
        <v>14487</v>
      </c>
      <c r="AC347" s="14">
        <v>0</v>
      </c>
      <c r="AD347" s="892">
        <f t="shared" si="560"/>
        <v>1952842</v>
      </c>
      <c r="AE347" s="702">
        <v>0</v>
      </c>
      <c r="AF347" s="121">
        <v>3.5500000000000003</v>
      </c>
      <c r="AG347" s="491">
        <v>0</v>
      </c>
      <c r="AH347" s="491">
        <v>0</v>
      </c>
      <c r="AI347" s="491">
        <v>0</v>
      </c>
      <c r="AJ347" s="491">
        <v>0</v>
      </c>
      <c r="AK347" s="626">
        <f>SUM(AE347:AJ347)</f>
        <v>3.5500000000000003</v>
      </c>
      <c r="AL347" s="696">
        <f>I347+AD347</f>
        <v>1952842</v>
      </c>
      <c r="AM347" s="492">
        <f>J347+U347</f>
        <v>1448696</v>
      </c>
      <c r="AN347" s="492">
        <f>Y347</f>
        <v>0</v>
      </c>
      <c r="AO347" s="492">
        <f t="shared" si="578"/>
        <v>489659</v>
      </c>
      <c r="AP347" s="492">
        <f t="shared" si="578"/>
        <v>14487</v>
      </c>
      <c r="AQ347" s="578">
        <f t="shared" si="578"/>
        <v>0</v>
      </c>
      <c r="AR347" s="626">
        <f>N347+AK347</f>
        <v>3.5500000000000003</v>
      </c>
    </row>
    <row r="348" spans="1:44" ht="14.1" customHeight="1" x14ac:dyDescent="0.2">
      <c r="A348" s="499">
        <v>84</v>
      </c>
      <c r="B348" s="512">
        <v>2305</v>
      </c>
      <c r="C348" s="513">
        <v>650026080</v>
      </c>
      <c r="D348" s="512">
        <v>72741686</v>
      </c>
      <c r="E348" s="511" t="s">
        <v>676</v>
      </c>
      <c r="F348" s="499">
        <v>3143</v>
      </c>
      <c r="G348" s="514" t="s">
        <v>794</v>
      </c>
      <c r="H348" s="495" t="s">
        <v>262</v>
      </c>
      <c r="I348" s="627">
        <f t="shared" si="558"/>
        <v>1509498</v>
      </c>
      <c r="J348" s="14">
        <v>1119806</v>
      </c>
      <c r="K348" s="14">
        <v>378494</v>
      </c>
      <c r="L348" s="14">
        <v>11198</v>
      </c>
      <c r="M348" s="14">
        <v>0</v>
      </c>
      <c r="N348" s="121">
        <v>2</v>
      </c>
      <c r="O348" s="696">
        <f t="shared" si="559"/>
        <v>0</v>
      </c>
      <c r="P348" s="492">
        <v>0</v>
      </c>
      <c r="Q348" s="492">
        <v>0</v>
      </c>
      <c r="R348" s="492">
        <v>0</v>
      </c>
      <c r="S348" s="492">
        <v>0</v>
      </c>
      <c r="T348" s="492">
        <v>0</v>
      </c>
      <c r="U348" s="492">
        <f>O348+P348+Q348+R348+S348+T348</f>
        <v>0</v>
      </c>
      <c r="V348" s="492">
        <v>0</v>
      </c>
      <c r="W348" s="492">
        <v>0</v>
      </c>
      <c r="X348" s="492">
        <v>0</v>
      </c>
      <c r="Y348" s="492">
        <f t="shared" si="574"/>
        <v>0</v>
      </c>
      <c r="Z348" s="492">
        <f t="shared" si="575"/>
        <v>0</v>
      </c>
      <c r="AA348" s="494">
        <f t="shared" si="576"/>
        <v>0</v>
      </c>
      <c r="AB348" s="494">
        <f t="shared" si="577"/>
        <v>0</v>
      </c>
      <c r="AC348" s="14">
        <v>0</v>
      </c>
      <c r="AD348" s="892">
        <f t="shared" si="560"/>
        <v>0</v>
      </c>
      <c r="AE348" s="702">
        <v>0</v>
      </c>
      <c r="AF348" s="702">
        <v>0</v>
      </c>
      <c r="AG348" s="491">
        <v>0</v>
      </c>
      <c r="AH348" s="491">
        <v>0</v>
      </c>
      <c r="AI348" s="491">
        <v>0</v>
      </c>
      <c r="AJ348" s="491">
        <v>0</v>
      </c>
      <c r="AK348" s="626">
        <f>SUM(AE348:AJ348)</f>
        <v>0</v>
      </c>
      <c r="AL348" s="696">
        <f>I348+AD348</f>
        <v>1509498</v>
      </c>
      <c r="AM348" s="492">
        <f>J348+U348</f>
        <v>1119806</v>
      </c>
      <c r="AN348" s="492">
        <f>Y348</f>
        <v>0</v>
      </c>
      <c r="AO348" s="492">
        <f t="shared" si="578"/>
        <v>378494</v>
      </c>
      <c r="AP348" s="492">
        <f t="shared" si="578"/>
        <v>11198</v>
      </c>
      <c r="AQ348" s="578">
        <f t="shared" si="578"/>
        <v>0</v>
      </c>
      <c r="AR348" s="626">
        <f>N348+AK348</f>
        <v>2</v>
      </c>
    </row>
    <row r="349" spans="1:44" ht="14.1" customHeight="1" x14ac:dyDescent="0.2">
      <c r="A349" s="510">
        <v>84</v>
      </c>
      <c r="B349" s="508">
        <v>2305</v>
      </c>
      <c r="C349" s="509">
        <v>650026080</v>
      </c>
      <c r="D349" s="508">
        <v>72741686</v>
      </c>
      <c r="E349" s="506" t="s">
        <v>677</v>
      </c>
      <c r="F349" s="510"/>
      <c r="G349" s="506"/>
      <c r="H349" s="505"/>
      <c r="I349" s="629">
        <f t="shared" ref="I349:AR349" si="579">SUM(I345:I348)</f>
        <v>12927449</v>
      </c>
      <c r="J349" s="504">
        <f t="shared" si="579"/>
        <v>9590096</v>
      </c>
      <c r="K349" s="504">
        <f t="shared" si="579"/>
        <v>3241452</v>
      </c>
      <c r="L349" s="504">
        <f t="shared" si="579"/>
        <v>95901</v>
      </c>
      <c r="M349" s="504">
        <f t="shared" si="579"/>
        <v>0</v>
      </c>
      <c r="N349" s="885">
        <f t="shared" si="579"/>
        <v>14.8262</v>
      </c>
      <c r="O349" s="629">
        <f t="shared" si="579"/>
        <v>0</v>
      </c>
      <c r="P349" s="503">
        <f t="shared" si="579"/>
        <v>1448696</v>
      </c>
      <c r="Q349" s="503">
        <f t="shared" si="579"/>
        <v>0</v>
      </c>
      <c r="R349" s="503">
        <f t="shared" si="579"/>
        <v>0</v>
      </c>
      <c r="S349" s="503">
        <f t="shared" si="579"/>
        <v>0</v>
      </c>
      <c r="T349" s="503">
        <f t="shared" si="579"/>
        <v>0</v>
      </c>
      <c r="U349" s="503">
        <f t="shared" si="579"/>
        <v>1448696</v>
      </c>
      <c r="V349" s="503">
        <f t="shared" si="579"/>
        <v>0</v>
      </c>
      <c r="W349" s="503">
        <f t="shared" si="579"/>
        <v>0</v>
      </c>
      <c r="X349" s="503">
        <f t="shared" si="579"/>
        <v>0</v>
      </c>
      <c r="Y349" s="503">
        <f t="shared" si="579"/>
        <v>0</v>
      </c>
      <c r="Z349" s="503">
        <f t="shared" si="579"/>
        <v>1448696</v>
      </c>
      <c r="AA349" s="503">
        <f t="shared" si="579"/>
        <v>489659</v>
      </c>
      <c r="AB349" s="503">
        <f t="shared" si="579"/>
        <v>14487</v>
      </c>
      <c r="AC349" s="503">
        <f t="shared" si="579"/>
        <v>0</v>
      </c>
      <c r="AD349" s="891">
        <f t="shared" si="579"/>
        <v>1952842</v>
      </c>
      <c r="AE349" s="701">
        <f t="shared" si="579"/>
        <v>0</v>
      </c>
      <c r="AF349" s="701">
        <f t="shared" si="579"/>
        <v>3.5500000000000003</v>
      </c>
      <c r="AG349" s="502">
        <f t="shared" si="579"/>
        <v>0</v>
      </c>
      <c r="AH349" s="502">
        <f t="shared" si="579"/>
        <v>0</v>
      </c>
      <c r="AI349" s="502">
        <f t="shared" si="579"/>
        <v>0</v>
      </c>
      <c r="AJ349" s="502">
        <f t="shared" si="579"/>
        <v>0</v>
      </c>
      <c r="AK349" s="630">
        <f t="shared" si="579"/>
        <v>3.5500000000000003</v>
      </c>
      <c r="AL349" s="629">
        <f t="shared" si="579"/>
        <v>14880291</v>
      </c>
      <c r="AM349" s="503">
        <f t="shared" si="579"/>
        <v>11038792</v>
      </c>
      <c r="AN349" s="552">
        <f t="shared" si="579"/>
        <v>0</v>
      </c>
      <c r="AO349" s="503">
        <f t="shared" si="579"/>
        <v>3731111</v>
      </c>
      <c r="AP349" s="503">
        <f t="shared" si="579"/>
        <v>110388</v>
      </c>
      <c r="AQ349" s="503">
        <f t="shared" si="579"/>
        <v>0</v>
      </c>
      <c r="AR349" s="630">
        <f t="shared" si="579"/>
        <v>18.376200000000001</v>
      </c>
    </row>
    <row r="350" spans="1:44" ht="14.1" customHeight="1" x14ac:dyDescent="0.2">
      <c r="A350" s="499">
        <v>85</v>
      </c>
      <c r="B350" s="512">
        <v>2498</v>
      </c>
      <c r="C350" s="513">
        <v>650021576</v>
      </c>
      <c r="D350" s="512">
        <v>70695539</v>
      </c>
      <c r="E350" s="511" t="s">
        <v>678</v>
      </c>
      <c r="F350" s="499">
        <v>3111</v>
      </c>
      <c r="G350" s="511" t="s">
        <v>277</v>
      </c>
      <c r="H350" s="495" t="s">
        <v>262</v>
      </c>
      <c r="I350" s="627">
        <f t="shared" si="558"/>
        <v>5008123</v>
      </c>
      <c r="J350" s="14">
        <v>3715225</v>
      </c>
      <c r="K350" s="14">
        <v>1255746</v>
      </c>
      <c r="L350" s="14">
        <v>37152</v>
      </c>
      <c r="M350" s="14">
        <v>0</v>
      </c>
      <c r="N350" s="121">
        <v>6</v>
      </c>
      <c r="O350" s="696">
        <f t="shared" si="559"/>
        <v>0</v>
      </c>
      <c r="P350" s="492">
        <v>0</v>
      </c>
      <c r="Q350" s="492">
        <v>0</v>
      </c>
      <c r="R350" s="492">
        <v>0</v>
      </c>
      <c r="S350" s="492">
        <v>0</v>
      </c>
      <c r="T350" s="492">
        <v>0</v>
      </c>
      <c r="U350" s="492">
        <f>O350+P350+Q350+R350+S350+T350</f>
        <v>0</v>
      </c>
      <c r="V350" s="492">
        <v>0</v>
      </c>
      <c r="W350" s="492">
        <v>0</v>
      </c>
      <c r="X350" s="492">
        <v>0</v>
      </c>
      <c r="Y350" s="492">
        <f t="shared" ref="Y350:Y354" si="580">V350+W350+X350</f>
        <v>0</v>
      </c>
      <c r="Z350" s="492">
        <f t="shared" ref="Z350:Z354" si="581">U350+Y350</f>
        <v>0</v>
      </c>
      <c r="AA350" s="494">
        <f t="shared" ref="AA350:AA354" si="582">ROUND((U350+Y350)*33.8%,0)</f>
        <v>0</v>
      </c>
      <c r="AB350" s="494">
        <f t="shared" ref="AB350:AB354" si="583">ROUND(U350*1%,0)</f>
        <v>0</v>
      </c>
      <c r="AC350" s="14">
        <v>0</v>
      </c>
      <c r="AD350" s="892">
        <f t="shared" si="560"/>
        <v>0</v>
      </c>
      <c r="AE350" s="702">
        <v>0</v>
      </c>
      <c r="AF350" s="702">
        <v>0</v>
      </c>
      <c r="AG350" s="491">
        <v>0</v>
      </c>
      <c r="AH350" s="491">
        <v>0</v>
      </c>
      <c r="AI350" s="491">
        <v>0</v>
      </c>
      <c r="AJ350" s="491">
        <v>0</v>
      </c>
      <c r="AK350" s="626">
        <f>SUM(AE350:AJ350)</f>
        <v>0</v>
      </c>
      <c r="AL350" s="696">
        <f>I350+AD350</f>
        <v>5008123</v>
      </c>
      <c r="AM350" s="492">
        <f>J350+U350</f>
        <v>3715225</v>
      </c>
      <c r="AN350" s="492">
        <f>Y350</f>
        <v>0</v>
      </c>
      <c r="AO350" s="492">
        <f t="shared" ref="AO350:AQ354" si="584">K350+AA350</f>
        <v>1255746</v>
      </c>
      <c r="AP350" s="492">
        <f t="shared" si="584"/>
        <v>37152</v>
      </c>
      <c r="AQ350" s="578">
        <f t="shared" si="584"/>
        <v>0</v>
      </c>
      <c r="AR350" s="626">
        <f>N350+AK350</f>
        <v>6</v>
      </c>
    </row>
    <row r="351" spans="1:44" ht="14.1" customHeight="1" x14ac:dyDescent="0.2">
      <c r="A351" s="499">
        <v>85</v>
      </c>
      <c r="B351" s="512">
        <v>2498</v>
      </c>
      <c r="C351" s="513">
        <v>650021576</v>
      </c>
      <c r="D351" s="512">
        <v>70695539</v>
      </c>
      <c r="E351" s="511" t="s">
        <v>678</v>
      </c>
      <c r="F351" s="499">
        <v>3113</v>
      </c>
      <c r="G351" s="511" t="s">
        <v>280</v>
      </c>
      <c r="H351" s="495" t="s">
        <v>262</v>
      </c>
      <c r="I351" s="627">
        <f t="shared" si="558"/>
        <v>16991923</v>
      </c>
      <c r="J351" s="14">
        <v>12605284</v>
      </c>
      <c r="K351" s="14">
        <v>4260586</v>
      </c>
      <c r="L351" s="14">
        <v>126053</v>
      </c>
      <c r="M351" s="14">
        <v>0</v>
      </c>
      <c r="N351" s="121">
        <v>17.221499999999999</v>
      </c>
      <c r="O351" s="696">
        <f t="shared" si="559"/>
        <v>0</v>
      </c>
      <c r="P351" s="492">
        <v>0</v>
      </c>
      <c r="Q351" s="492">
        <v>0</v>
      </c>
      <c r="R351" s="492">
        <v>0</v>
      </c>
      <c r="S351" s="492">
        <v>0</v>
      </c>
      <c r="T351" s="492">
        <v>0</v>
      </c>
      <c r="U351" s="492">
        <f>O351+P351+Q351+R351+S351+T351</f>
        <v>0</v>
      </c>
      <c r="V351" s="492">
        <v>0</v>
      </c>
      <c r="W351" s="492">
        <v>0</v>
      </c>
      <c r="X351" s="492">
        <v>0</v>
      </c>
      <c r="Y351" s="492">
        <f t="shared" si="580"/>
        <v>0</v>
      </c>
      <c r="Z351" s="492">
        <f t="shared" si="581"/>
        <v>0</v>
      </c>
      <c r="AA351" s="494">
        <f t="shared" si="582"/>
        <v>0</v>
      </c>
      <c r="AB351" s="494">
        <f t="shared" si="583"/>
        <v>0</v>
      </c>
      <c r="AC351" s="14">
        <v>0</v>
      </c>
      <c r="AD351" s="892">
        <f t="shared" si="560"/>
        <v>0</v>
      </c>
      <c r="AE351" s="702">
        <v>0</v>
      </c>
      <c r="AF351" s="702">
        <v>0</v>
      </c>
      <c r="AG351" s="491">
        <v>0</v>
      </c>
      <c r="AH351" s="491">
        <v>0</v>
      </c>
      <c r="AI351" s="491">
        <v>0</v>
      </c>
      <c r="AJ351" s="491">
        <v>0</v>
      </c>
      <c r="AK351" s="626">
        <f>SUM(AE351:AJ351)</f>
        <v>0</v>
      </c>
      <c r="AL351" s="696">
        <f>I351+AD351</f>
        <v>16991923</v>
      </c>
      <c r="AM351" s="492">
        <f>J351+U351</f>
        <v>12605284</v>
      </c>
      <c r="AN351" s="492">
        <f>Y351</f>
        <v>0</v>
      </c>
      <c r="AO351" s="492">
        <f t="shared" si="584"/>
        <v>4260586</v>
      </c>
      <c r="AP351" s="492">
        <f t="shared" si="584"/>
        <v>126053</v>
      </c>
      <c r="AQ351" s="578">
        <f t="shared" si="584"/>
        <v>0</v>
      </c>
      <c r="AR351" s="626">
        <f>N351+AK351</f>
        <v>17.221499999999999</v>
      </c>
    </row>
    <row r="352" spans="1:44" ht="14.1" customHeight="1" x14ac:dyDescent="0.2">
      <c r="A352" s="499">
        <v>85</v>
      </c>
      <c r="B352" s="512">
        <v>2498</v>
      </c>
      <c r="C352" s="513">
        <v>650021576</v>
      </c>
      <c r="D352" s="512">
        <v>70695539</v>
      </c>
      <c r="E352" s="511" t="s">
        <v>678</v>
      </c>
      <c r="F352" s="499">
        <v>3113</v>
      </c>
      <c r="G352" s="511" t="s">
        <v>799</v>
      </c>
      <c r="H352" s="495" t="s">
        <v>262</v>
      </c>
      <c r="I352" s="627">
        <f t="shared" si="558"/>
        <v>419678</v>
      </c>
      <c r="J352" s="14">
        <v>311334</v>
      </c>
      <c r="K352" s="14">
        <v>105231</v>
      </c>
      <c r="L352" s="14">
        <v>3113</v>
      </c>
      <c r="M352" s="14">
        <v>0</v>
      </c>
      <c r="N352" s="121">
        <v>0.5</v>
      </c>
      <c r="O352" s="696">
        <f t="shared" si="559"/>
        <v>0</v>
      </c>
      <c r="P352" s="492">
        <v>0</v>
      </c>
      <c r="Q352" s="492">
        <v>0</v>
      </c>
      <c r="R352" s="492">
        <v>0</v>
      </c>
      <c r="S352" s="492">
        <v>0</v>
      </c>
      <c r="T352" s="492">
        <v>0</v>
      </c>
      <c r="U352" s="492">
        <f>O352+P352+Q352+R352+S352+T352</f>
        <v>0</v>
      </c>
      <c r="V352" s="492">
        <v>0</v>
      </c>
      <c r="W352" s="492">
        <v>0</v>
      </c>
      <c r="X352" s="492">
        <v>0</v>
      </c>
      <c r="Y352" s="492">
        <f t="shared" ref="Y352" si="585">V352+W352+X352</f>
        <v>0</v>
      </c>
      <c r="Z352" s="492">
        <f t="shared" ref="Z352" si="586">U352+Y352</f>
        <v>0</v>
      </c>
      <c r="AA352" s="494">
        <f t="shared" ref="AA352" si="587">ROUND((U352+Y352)*33.8%,0)</f>
        <v>0</v>
      </c>
      <c r="AB352" s="494">
        <f t="shared" ref="AB352" si="588">ROUND(U352*1%,0)</f>
        <v>0</v>
      </c>
      <c r="AC352" s="14">
        <v>0</v>
      </c>
      <c r="AD352" s="892">
        <f t="shared" si="560"/>
        <v>0</v>
      </c>
      <c r="AE352" s="702">
        <v>0</v>
      </c>
      <c r="AF352" s="702">
        <v>0</v>
      </c>
      <c r="AG352" s="491">
        <v>0</v>
      </c>
      <c r="AH352" s="491">
        <v>0</v>
      </c>
      <c r="AI352" s="491">
        <v>0</v>
      </c>
      <c r="AJ352" s="491">
        <v>0</v>
      </c>
      <c r="AK352" s="626">
        <f>SUM(AE352:AJ352)</f>
        <v>0</v>
      </c>
      <c r="AL352" s="696">
        <f>I352+AD352</f>
        <v>419678</v>
      </c>
      <c r="AM352" s="492">
        <f>J352+U352</f>
        <v>311334</v>
      </c>
      <c r="AN352" s="492">
        <f>Y352</f>
        <v>0</v>
      </c>
      <c r="AO352" s="492">
        <f t="shared" si="584"/>
        <v>105231</v>
      </c>
      <c r="AP352" s="492">
        <f t="shared" si="584"/>
        <v>3113</v>
      </c>
      <c r="AQ352" s="578">
        <f t="shared" si="584"/>
        <v>0</v>
      </c>
      <c r="AR352" s="626">
        <f>N352+AK352</f>
        <v>0.5</v>
      </c>
    </row>
    <row r="353" spans="1:44" ht="14.1" customHeight="1" x14ac:dyDescent="0.2">
      <c r="A353" s="499">
        <v>85</v>
      </c>
      <c r="B353" s="512">
        <v>2498</v>
      </c>
      <c r="C353" s="513">
        <v>650021576</v>
      </c>
      <c r="D353" s="512">
        <v>70695539</v>
      </c>
      <c r="E353" s="511" t="s">
        <v>678</v>
      </c>
      <c r="F353" s="499">
        <v>3113</v>
      </c>
      <c r="G353" s="514" t="s">
        <v>278</v>
      </c>
      <c r="H353" s="495" t="s">
        <v>263</v>
      </c>
      <c r="I353" s="627">
        <f t="shared" si="558"/>
        <v>0</v>
      </c>
      <c r="J353" s="490">
        <v>0</v>
      </c>
      <c r="K353" s="14">
        <v>0</v>
      </c>
      <c r="L353" s="14">
        <v>0</v>
      </c>
      <c r="M353" s="14">
        <v>0</v>
      </c>
      <c r="N353" s="682">
        <v>0</v>
      </c>
      <c r="O353" s="696">
        <f t="shared" si="559"/>
        <v>0</v>
      </c>
      <c r="P353" s="490">
        <v>2109621</v>
      </c>
      <c r="Q353" s="492">
        <v>0</v>
      </c>
      <c r="R353" s="492">
        <v>0</v>
      </c>
      <c r="S353" s="492">
        <v>0</v>
      </c>
      <c r="T353" s="492">
        <v>0</v>
      </c>
      <c r="U353" s="492">
        <f>O353+P353+Q353+R353+S353+T353</f>
        <v>2109621</v>
      </c>
      <c r="V353" s="492">
        <v>0</v>
      </c>
      <c r="W353" s="492">
        <v>0</v>
      </c>
      <c r="X353" s="492">
        <v>0</v>
      </c>
      <c r="Y353" s="492">
        <f t="shared" si="580"/>
        <v>0</v>
      </c>
      <c r="Z353" s="492">
        <f t="shared" si="581"/>
        <v>2109621</v>
      </c>
      <c r="AA353" s="494">
        <f t="shared" si="582"/>
        <v>713052</v>
      </c>
      <c r="AB353" s="494">
        <f t="shared" si="583"/>
        <v>21096</v>
      </c>
      <c r="AC353" s="14">
        <v>0</v>
      </c>
      <c r="AD353" s="892">
        <f t="shared" si="560"/>
        <v>2843769</v>
      </c>
      <c r="AE353" s="702">
        <v>0</v>
      </c>
      <c r="AF353" s="121">
        <v>5.29</v>
      </c>
      <c r="AG353" s="491">
        <v>0</v>
      </c>
      <c r="AH353" s="491">
        <v>0</v>
      </c>
      <c r="AI353" s="491">
        <v>0</v>
      </c>
      <c r="AJ353" s="491">
        <v>0</v>
      </c>
      <c r="AK353" s="626">
        <f>SUM(AE353:AJ353)</f>
        <v>5.29</v>
      </c>
      <c r="AL353" s="696">
        <f>I353+AD353</f>
        <v>2843769</v>
      </c>
      <c r="AM353" s="492">
        <f>J353+U353</f>
        <v>2109621</v>
      </c>
      <c r="AN353" s="492">
        <f>Y353</f>
        <v>0</v>
      </c>
      <c r="AO353" s="492">
        <f t="shared" si="584"/>
        <v>713052</v>
      </c>
      <c r="AP353" s="492">
        <f t="shared" si="584"/>
        <v>21096</v>
      </c>
      <c r="AQ353" s="578">
        <f t="shared" si="584"/>
        <v>0</v>
      </c>
      <c r="AR353" s="626">
        <f>N353+AK353</f>
        <v>5.29</v>
      </c>
    </row>
    <row r="354" spans="1:44" ht="14.1" customHeight="1" x14ac:dyDescent="0.2">
      <c r="A354" s="499">
        <v>85</v>
      </c>
      <c r="B354" s="512">
        <v>2498</v>
      </c>
      <c r="C354" s="513">
        <v>650021576</v>
      </c>
      <c r="D354" s="512">
        <v>70695539</v>
      </c>
      <c r="E354" s="511" t="s">
        <v>678</v>
      </c>
      <c r="F354" s="499">
        <v>3143</v>
      </c>
      <c r="G354" s="514" t="s">
        <v>795</v>
      </c>
      <c r="H354" s="495" t="s">
        <v>262</v>
      </c>
      <c r="I354" s="627">
        <f t="shared" si="558"/>
        <v>2000138</v>
      </c>
      <c r="J354" s="14">
        <v>1483782</v>
      </c>
      <c r="K354" s="14">
        <v>501518</v>
      </c>
      <c r="L354" s="14">
        <v>14838</v>
      </c>
      <c r="M354" s="14">
        <v>0</v>
      </c>
      <c r="N354" s="121">
        <v>2.8571</v>
      </c>
      <c r="O354" s="696">
        <f t="shared" si="559"/>
        <v>0</v>
      </c>
      <c r="P354" s="492">
        <v>0</v>
      </c>
      <c r="Q354" s="492">
        <v>0</v>
      </c>
      <c r="R354" s="492">
        <v>0</v>
      </c>
      <c r="S354" s="492">
        <v>0</v>
      </c>
      <c r="T354" s="492">
        <v>0</v>
      </c>
      <c r="U354" s="492">
        <f>O354+P354+Q354+R354+S354+T354</f>
        <v>0</v>
      </c>
      <c r="V354" s="492">
        <v>0</v>
      </c>
      <c r="W354" s="492">
        <v>0</v>
      </c>
      <c r="X354" s="492">
        <v>0</v>
      </c>
      <c r="Y354" s="492">
        <f t="shared" si="580"/>
        <v>0</v>
      </c>
      <c r="Z354" s="492">
        <f t="shared" si="581"/>
        <v>0</v>
      </c>
      <c r="AA354" s="494">
        <f t="shared" si="582"/>
        <v>0</v>
      </c>
      <c r="AB354" s="494">
        <f t="shared" si="583"/>
        <v>0</v>
      </c>
      <c r="AC354" s="14">
        <v>0</v>
      </c>
      <c r="AD354" s="892">
        <f t="shared" si="560"/>
        <v>0</v>
      </c>
      <c r="AE354" s="702">
        <v>0</v>
      </c>
      <c r="AF354" s="702">
        <v>0</v>
      </c>
      <c r="AG354" s="491">
        <v>0</v>
      </c>
      <c r="AH354" s="491">
        <v>0</v>
      </c>
      <c r="AI354" s="491">
        <v>0</v>
      </c>
      <c r="AJ354" s="491">
        <v>0</v>
      </c>
      <c r="AK354" s="626">
        <f>SUM(AE354:AJ354)</f>
        <v>0</v>
      </c>
      <c r="AL354" s="696">
        <f>I354+AD354</f>
        <v>2000138</v>
      </c>
      <c r="AM354" s="492">
        <f>J354+U354</f>
        <v>1483782</v>
      </c>
      <c r="AN354" s="492">
        <f>Y354</f>
        <v>0</v>
      </c>
      <c r="AO354" s="492">
        <f t="shared" si="584"/>
        <v>501518</v>
      </c>
      <c r="AP354" s="492">
        <f t="shared" si="584"/>
        <v>14838</v>
      </c>
      <c r="AQ354" s="578">
        <f t="shared" si="584"/>
        <v>0</v>
      </c>
      <c r="AR354" s="626">
        <f>N354+AK354</f>
        <v>2.8571</v>
      </c>
    </row>
    <row r="355" spans="1:44" ht="14.1" customHeight="1" x14ac:dyDescent="0.2">
      <c r="A355" s="510">
        <v>85</v>
      </c>
      <c r="B355" s="508">
        <v>2498</v>
      </c>
      <c r="C355" s="509">
        <v>650021576</v>
      </c>
      <c r="D355" s="508">
        <v>70695539</v>
      </c>
      <c r="E355" s="506" t="s">
        <v>679</v>
      </c>
      <c r="F355" s="510"/>
      <c r="G355" s="506"/>
      <c r="H355" s="505"/>
      <c r="I355" s="629">
        <f t="shared" ref="I355:AR355" si="589">SUM(I350:I354)</f>
        <v>24419862</v>
      </c>
      <c r="J355" s="504">
        <f t="shared" si="589"/>
        <v>18115625</v>
      </c>
      <c r="K355" s="504">
        <f t="shared" si="589"/>
        <v>6123081</v>
      </c>
      <c r="L355" s="504">
        <f t="shared" si="589"/>
        <v>181156</v>
      </c>
      <c r="M355" s="504">
        <f t="shared" si="589"/>
        <v>0</v>
      </c>
      <c r="N355" s="885">
        <f t="shared" si="589"/>
        <v>26.578599999999998</v>
      </c>
      <c r="O355" s="629">
        <f t="shared" si="589"/>
        <v>0</v>
      </c>
      <c r="P355" s="503">
        <f t="shared" si="589"/>
        <v>2109621</v>
      </c>
      <c r="Q355" s="503">
        <f t="shared" si="589"/>
        <v>0</v>
      </c>
      <c r="R355" s="503">
        <f t="shared" si="589"/>
        <v>0</v>
      </c>
      <c r="S355" s="503">
        <f t="shared" si="589"/>
        <v>0</v>
      </c>
      <c r="T355" s="503">
        <f t="shared" si="589"/>
        <v>0</v>
      </c>
      <c r="U355" s="503">
        <f t="shared" si="589"/>
        <v>2109621</v>
      </c>
      <c r="V355" s="503">
        <f t="shared" si="589"/>
        <v>0</v>
      </c>
      <c r="W355" s="503">
        <f t="shared" si="589"/>
        <v>0</v>
      </c>
      <c r="X355" s="503">
        <f t="shared" si="589"/>
        <v>0</v>
      </c>
      <c r="Y355" s="503">
        <f t="shared" si="589"/>
        <v>0</v>
      </c>
      <c r="Z355" s="503">
        <f t="shared" si="589"/>
        <v>2109621</v>
      </c>
      <c r="AA355" s="503">
        <f t="shared" si="589"/>
        <v>713052</v>
      </c>
      <c r="AB355" s="503">
        <f t="shared" si="589"/>
        <v>21096</v>
      </c>
      <c r="AC355" s="503">
        <f t="shared" si="589"/>
        <v>0</v>
      </c>
      <c r="AD355" s="891">
        <f t="shared" si="589"/>
        <v>2843769</v>
      </c>
      <c r="AE355" s="701">
        <f t="shared" si="589"/>
        <v>0</v>
      </c>
      <c r="AF355" s="701">
        <f t="shared" si="589"/>
        <v>5.29</v>
      </c>
      <c r="AG355" s="502">
        <f t="shared" si="589"/>
        <v>0</v>
      </c>
      <c r="AH355" s="502">
        <f t="shared" si="589"/>
        <v>0</v>
      </c>
      <c r="AI355" s="502">
        <f t="shared" si="589"/>
        <v>0</v>
      </c>
      <c r="AJ355" s="502">
        <f t="shared" si="589"/>
        <v>0</v>
      </c>
      <c r="AK355" s="630">
        <f t="shared" si="589"/>
        <v>5.29</v>
      </c>
      <c r="AL355" s="629">
        <f t="shared" si="589"/>
        <v>27263631</v>
      </c>
      <c r="AM355" s="503">
        <f t="shared" si="589"/>
        <v>20225246</v>
      </c>
      <c r="AN355" s="552">
        <f t="shared" si="589"/>
        <v>0</v>
      </c>
      <c r="AO355" s="503">
        <f t="shared" si="589"/>
        <v>6836133</v>
      </c>
      <c r="AP355" s="503">
        <f t="shared" si="589"/>
        <v>202252</v>
      </c>
      <c r="AQ355" s="503">
        <f t="shared" si="589"/>
        <v>0</v>
      </c>
      <c r="AR355" s="630">
        <f t="shared" si="589"/>
        <v>31.868599999999997</v>
      </c>
    </row>
    <row r="356" spans="1:44" ht="14.1" customHeight="1" x14ac:dyDescent="0.2">
      <c r="A356" s="499">
        <v>86</v>
      </c>
      <c r="B356" s="512">
        <v>2499</v>
      </c>
      <c r="C356" s="513">
        <v>650025288</v>
      </c>
      <c r="D356" s="512">
        <v>70983283</v>
      </c>
      <c r="E356" s="511" t="s">
        <v>680</v>
      </c>
      <c r="F356" s="499">
        <v>3111</v>
      </c>
      <c r="G356" s="511" t="s">
        <v>277</v>
      </c>
      <c r="H356" s="495" t="s">
        <v>262</v>
      </c>
      <c r="I356" s="627">
        <f t="shared" si="558"/>
        <v>3119857</v>
      </c>
      <c r="J356" s="14">
        <v>2314434</v>
      </c>
      <c r="K356" s="14">
        <v>782279</v>
      </c>
      <c r="L356" s="14">
        <v>23144</v>
      </c>
      <c r="M356" s="14">
        <v>0</v>
      </c>
      <c r="N356" s="121">
        <v>4</v>
      </c>
      <c r="O356" s="696">
        <f t="shared" si="559"/>
        <v>0</v>
      </c>
      <c r="P356" s="492">
        <v>0</v>
      </c>
      <c r="Q356" s="492">
        <v>0</v>
      </c>
      <c r="R356" s="492">
        <v>0</v>
      </c>
      <c r="S356" s="492">
        <v>0</v>
      </c>
      <c r="T356" s="492">
        <v>0</v>
      </c>
      <c r="U356" s="492">
        <f>O356+P356+Q356+R356+S356+T356</f>
        <v>0</v>
      </c>
      <c r="V356" s="492">
        <v>0</v>
      </c>
      <c r="W356" s="492">
        <v>0</v>
      </c>
      <c r="X356" s="492">
        <v>0</v>
      </c>
      <c r="Y356" s="492">
        <f t="shared" ref="Y356:Y359" si="590">V356+W356+X356</f>
        <v>0</v>
      </c>
      <c r="Z356" s="492">
        <f t="shared" ref="Z356:Z359" si="591">U356+Y356</f>
        <v>0</v>
      </c>
      <c r="AA356" s="494">
        <f t="shared" ref="AA356:AA359" si="592">ROUND((U356+Y356)*33.8%,0)</f>
        <v>0</v>
      </c>
      <c r="AB356" s="494">
        <f t="shared" ref="AB356:AB359" si="593">ROUND(U356*1%,0)</f>
        <v>0</v>
      </c>
      <c r="AC356" s="14">
        <v>0</v>
      </c>
      <c r="AD356" s="892">
        <f t="shared" si="560"/>
        <v>0</v>
      </c>
      <c r="AE356" s="702">
        <v>0</v>
      </c>
      <c r="AF356" s="702">
        <v>0</v>
      </c>
      <c r="AG356" s="491">
        <v>0</v>
      </c>
      <c r="AH356" s="491">
        <v>0</v>
      </c>
      <c r="AI356" s="491">
        <v>0</v>
      </c>
      <c r="AJ356" s="491">
        <v>0</v>
      </c>
      <c r="AK356" s="626">
        <f>SUM(AE356:AJ356)</f>
        <v>0</v>
      </c>
      <c r="AL356" s="696">
        <f>I356+AD356</f>
        <v>3119857</v>
      </c>
      <c r="AM356" s="492">
        <f>J356+U356</f>
        <v>2314434</v>
      </c>
      <c r="AN356" s="492">
        <f>Y356</f>
        <v>0</v>
      </c>
      <c r="AO356" s="492">
        <f t="shared" ref="AO356:AQ359" si="594">K356+AA356</f>
        <v>782279</v>
      </c>
      <c r="AP356" s="492">
        <f t="shared" si="594"/>
        <v>23144</v>
      </c>
      <c r="AQ356" s="578">
        <f t="shared" si="594"/>
        <v>0</v>
      </c>
      <c r="AR356" s="626">
        <f>N356+AK356</f>
        <v>4</v>
      </c>
    </row>
    <row r="357" spans="1:44" ht="14.1" customHeight="1" x14ac:dyDescent="0.2">
      <c r="A357" s="499">
        <v>86</v>
      </c>
      <c r="B357" s="512">
        <v>2499</v>
      </c>
      <c r="C357" s="513">
        <v>650025288</v>
      </c>
      <c r="D357" s="512">
        <v>70983283</v>
      </c>
      <c r="E357" s="511" t="s">
        <v>680</v>
      </c>
      <c r="F357" s="499">
        <v>3117</v>
      </c>
      <c r="G357" s="511" t="s">
        <v>280</v>
      </c>
      <c r="H357" s="495" t="s">
        <v>262</v>
      </c>
      <c r="I357" s="627">
        <f t="shared" si="558"/>
        <v>3922457</v>
      </c>
      <c r="J357" s="14">
        <v>2909835</v>
      </c>
      <c r="K357" s="14">
        <v>983524</v>
      </c>
      <c r="L357" s="14">
        <v>29098</v>
      </c>
      <c r="M357" s="14">
        <v>0</v>
      </c>
      <c r="N357" s="121">
        <v>4.1363000000000003</v>
      </c>
      <c r="O357" s="696">
        <f t="shared" si="559"/>
        <v>0</v>
      </c>
      <c r="P357" s="492">
        <v>0</v>
      </c>
      <c r="Q357" s="492">
        <v>0</v>
      </c>
      <c r="R357" s="492">
        <v>0</v>
      </c>
      <c r="S357" s="492">
        <v>0</v>
      </c>
      <c r="T357" s="492">
        <v>0</v>
      </c>
      <c r="U357" s="492">
        <f>O357+P357+Q357+R357+S357+T357</f>
        <v>0</v>
      </c>
      <c r="V357" s="492">
        <v>0</v>
      </c>
      <c r="W357" s="492">
        <v>0</v>
      </c>
      <c r="X357" s="492">
        <v>0</v>
      </c>
      <c r="Y357" s="492">
        <f t="shared" si="590"/>
        <v>0</v>
      </c>
      <c r="Z357" s="492">
        <f t="shared" si="591"/>
        <v>0</v>
      </c>
      <c r="AA357" s="494">
        <f t="shared" si="592"/>
        <v>0</v>
      </c>
      <c r="AB357" s="494">
        <f t="shared" si="593"/>
        <v>0</v>
      </c>
      <c r="AC357" s="14">
        <v>0</v>
      </c>
      <c r="AD357" s="892">
        <f t="shared" si="560"/>
        <v>0</v>
      </c>
      <c r="AE357" s="702">
        <v>0</v>
      </c>
      <c r="AF357" s="702">
        <v>0</v>
      </c>
      <c r="AG357" s="491">
        <v>0</v>
      </c>
      <c r="AH357" s="491">
        <v>0</v>
      </c>
      <c r="AI357" s="491">
        <v>0</v>
      </c>
      <c r="AJ357" s="491">
        <v>0</v>
      </c>
      <c r="AK357" s="626">
        <f>SUM(AE357:AJ357)</f>
        <v>0</v>
      </c>
      <c r="AL357" s="696">
        <f>I357+AD357</f>
        <v>3922457</v>
      </c>
      <c r="AM357" s="492">
        <f>J357+U357</f>
        <v>2909835</v>
      </c>
      <c r="AN357" s="492">
        <f>Y357</f>
        <v>0</v>
      </c>
      <c r="AO357" s="492">
        <f t="shared" si="594"/>
        <v>983524</v>
      </c>
      <c r="AP357" s="492">
        <f t="shared" si="594"/>
        <v>29098</v>
      </c>
      <c r="AQ357" s="578">
        <f t="shared" si="594"/>
        <v>0</v>
      </c>
      <c r="AR357" s="626">
        <f>N357+AK357</f>
        <v>4.1363000000000003</v>
      </c>
    </row>
    <row r="358" spans="1:44" ht="14.1" customHeight="1" x14ac:dyDescent="0.2">
      <c r="A358" s="499">
        <v>86</v>
      </c>
      <c r="B358" s="512">
        <v>2499</v>
      </c>
      <c r="C358" s="513">
        <v>650025288</v>
      </c>
      <c r="D358" s="512">
        <v>70983283</v>
      </c>
      <c r="E358" s="511" t="s">
        <v>680</v>
      </c>
      <c r="F358" s="499">
        <v>3117</v>
      </c>
      <c r="G358" s="511" t="s">
        <v>278</v>
      </c>
      <c r="H358" s="495" t="s">
        <v>263</v>
      </c>
      <c r="I358" s="627">
        <f t="shared" si="558"/>
        <v>0</v>
      </c>
      <c r="J358" s="490">
        <v>0</v>
      </c>
      <c r="K358" s="14">
        <v>0</v>
      </c>
      <c r="L358" s="14">
        <v>0</v>
      </c>
      <c r="M358" s="14">
        <v>0</v>
      </c>
      <c r="N358" s="682">
        <v>0</v>
      </c>
      <c r="O358" s="696">
        <f t="shared" si="559"/>
        <v>0</v>
      </c>
      <c r="P358" s="492">
        <v>0</v>
      </c>
      <c r="Q358" s="492">
        <v>0</v>
      </c>
      <c r="R358" s="492">
        <v>0</v>
      </c>
      <c r="S358" s="492">
        <v>0</v>
      </c>
      <c r="T358" s="492">
        <v>0</v>
      </c>
      <c r="U358" s="492">
        <f>O358+P358+Q358+R358+S358+T358</f>
        <v>0</v>
      </c>
      <c r="V358" s="492">
        <v>0</v>
      </c>
      <c r="W358" s="492">
        <v>0</v>
      </c>
      <c r="X358" s="492">
        <v>0</v>
      </c>
      <c r="Y358" s="492">
        <f t="shared" si="590"/>
        <v>0</v>
      </c>
      <c r="Z358" s="492">
        <f t="shared" si="591"/>
        <v>0</v>
      </c>
      <c r="AA358" s="494">
        <f t="shared" si="592"/>
        <v>0</v>
      </c>
      <c r="AB358" s="494">
        <f t="shared" si="593"/>
        <v>0</v>
      </c>
      <c r="AC358" s="14">
        <v>0</v>
      </c>
      <c r="AD358" s="892">
        <f t="shared" si="560"/>
        <v>0</v>
      </c>
      <c r="AE358" s="702">
        <v>0</v>
      </c>
      <c r="AF358" s="702">
        <v>0</v>
      </c>
      <c r="AG358" s="491">
        <v>0</v>
      </c>
      <c r="AH358" s="491">
        <v>0</v>
      </c>
      <c r="AI358" s="491">
        <v>0</v>
      </c>
      <c r="AJ358" s="491">
        <v>0</v>
      </c>
      <c r="AK358" s="626">
        <f>SUM(AE358:AJ358)</f>
        <v>0</v>
      </c>
      <c r="AL358" s="696">
        <f>I358+AD358</f>
        <v>0</v>
      </c>
      <c r="AM358" s="492">
        <f>J358+U358</f>
        <v>0</v>
      </c>
      <c r="AN358" s="492">
        <f>Y358</f>
        <v>0</v>
      </c>
      <c r="AO358" s="492">
        <f t="shared" si="594"/>
        <v>0</v>
      </c>
      <c r="AP358" s="492">
        <f t="shared" si="594"/>
        <v>0</v>
      </c>
      <c r="AQ358" s="578">
        <f t="shared" si="594"/>
        <v>0</v>
      </c>
      <c r="AR358" s="626">
        <f>N358+AK358</f>
        <v>0</v>
      </c>
    </row>
    <row r="359" spans="1:44" ht="14.1" customHeight="1" x14ac:dyDescent="0.2">
      <c r="A359" s="499">
        <v>86</v>
      </c>
      <c r="B359" s="512">
        <v>2499</v>
      </c>
      <c r="C359" s="513">
        <v>650025288</v>
      </c>
      <c r="D359" s="512">
        <v>70983283</v>
      </c>
      <c r="E359" s="511" t="s">
        <v>680</v>
      </c>
      <c r="F359" s="499">
        <v>3143</v>
      </c>
      <c r="G359" s="514" t="s">
        <v>794</v>
      </c>
      <c r="H359" s="495" t="s">
        <v>262</v>
      </c>
      <c r="I359" s="627">
        <f t="shared" si="558"/>
        <v>1123235</v>
      </c>
      <c r="J359" s="14">
        <v>833260</v>
      </c>
      <c r="K359" s="14">
        <v>281642</v>
      </c>
      <c r="L359" s="14">
        <v>8333</v>
      </c>
      <c r="M359" s="14">
        <v>0</v>
      </c>
      <c r="N359" s="121">
        <v>1.6071</v>
      </c>
      <c r="O359" s="696">
        <f t="shared" si="559"/>
        <v>0</v>
      </c>
      <c r="P359" s="492">
        <v>0</v>
      </c>
      <c r="Q359" s="492">
        <v>0</v>
      </c>
      <c r="R359" s="492">
        <v>0</v>
      </c>
      <c r="S359" s="492">
        <v>0</v>
      </c>
      <c r="T359" s="492">
        <v>0</v>
      </c>
      <c r="U359" s="492">
        <f>O359+P359+Q359+R359+S359+T359</f>
        <v>0</v>
      </c>
      <c r="V359" s="492">
        <v>0</v>
      </c>
      <c r="W359" s="492">
        <v>0</v>
      </c>
      <c r="X359" s="492">
        <v>0</v>
      </c>
      <c r="Y359" s="492">
        <f t="shared" si="590"/>
        <v>0</v>
      </c>
      <c r="Z359" s="492">
        <f t="shared" si="591"/>
        <v>0</v>
      </c>
      <c r="AA359" s="494">
        <f t="shared" si="592"/>
        <v>0</v>
      </c>
      <c r="AB359" s="494">
        <f t="shared" si="593"/>
        <v>0</v>
      </c>
      <c r="AC359" s="14">
        <v>0</v>
      </c>
      <c r="AD359" s="892">
        <f t="shared" si="560"/>
        <v>0</v>
      </c>
      <c r="AE359" s="702">
        <v>0</v>
      </c>
      <c r="AF359" s="702">
        <v>0</v>
      </c>
      <c r="AG359" s="491">
        <v>0</v>
      </c>
      <c r="AH359" s="491">
        <v>0</v>
      </c>
      <c r="AI359" s="491">
        <v>0</v>
      </c>
      <c r="AJ359" s="491">
        <v>0</v>
      </c>
      <c r="AK359" s="626">
        <f>SUM(AE359:AJ359)</f>
        <v>0</v>
      </c>
      <c r="AL359" s="696">
        <f>I359+AD359</f>
        <v>1123235</v>
      </c>
      <c r="AM359" s="492">
        <f>J359+U359</f>
        <v>833260</v>
      </c>
      <c r="AN359" s="492">
        <f>Y359</f>
        <v>0</v>
      </c>
      <c r="AO359" s="492">
        <f t="shared" si="594"/>
        <v>281642</v>
      </c>
      <c r="AP359" s="492">
        <f t="shared" si="594"/>
        <v>8333</v>
      </c>
      <c r="AQ359" s="578">
        <f t="shared" si="594"/>
        <v>0</v>
      </c>
      <c r="AR359" s="626">
        <f>N359+AK359</f>
        <v>1.6071</v>
      </c>
    </row>
    <row r="360" spans="1:44" ht="14.1" customHeight="1" x14ac:dyDescent="0.2">
      <c r="A360" s="510">
        <v>86</v>
      </c>
      <c r="B360" s="508">
        <v>2499</v>
      </c>
      <c r="C360" s="509">
        <v>650025288</v>
      </c>
      <c r="D360" s="508">
        <v>70983283</v>
      </c>
      <c r="E360" s="506" t="s">
        <v>681</v>
      </c>
      <c r="F360" s="510"/>
      <c r="G360" s="506"/>
      <c r="H360" s="505"/>
      <c r="I360" s="629">
        <f t="shared" ref="I360:AR360" si="595">SUM(I356:I359)</f>
        <v>8165549</v>
      </c>
      <c r="J360" s="504">
        <f t="shared" si="595"/>
        <v>6057529</v>
      </c>
      <c r="K360" s="504">
        <f t="shared" si="595"/>
        <v>2047445</v>
      </c>
      <c r="L360" s="504">
        <f t="shared" si="595"/>
        <v>60575</v>
      </c>
      <c r="M360" s="504">
        <f t="shared" si="595"/>
        <v>0</v>
      </c>
      <c r="N360" s="885">
        <f t="shared" si="595"/>
        <v>9.7434000000000012</v>
      </c>
      <c r="O360" s="629">
        <f t="shared" si="595"/>
        <v>0</v>
      </c>
      <c r="P360" s="503">
        <f t="shared" si="595"/>
        <v>0</v>
      </c>
      <c r="Q360" s="503">
        <f t="shared" si="595"/>
        <v>0</v>
      </c>
      <c r="R360" s="503">
        <f t="shared" si="595"/>
        <v>0</v>
      </c>
      <c r="S360" s="503">
        <f t="shared" si="595"/>
        <v>0</v>
      </c>
      <c r="T360" s="503">
        <f t="shared" si="595"/>
        <v>0</v>
      </c>
      <c r="U360" s="503">
        <f t="shared" si="595"/>
        <v>0</v>
      </c>
      <c r="V360" s="503">
        <f t="shared" si="595"/>
        <v>0</v>
      </c>
      <c r="W360" s="503">
        <f t="shared" si="595"/>
        <v>0</v>
      </c>
      <c r="X360" s="503">
        <f t="shared" si="595"/>
        <v>0</v>
      </c>
      <c r="Y360" s="503">
        <f t="shared" si="595"/>
        <v>0</v>
      </c>
      <c r="Z360" s="503">
        <f t="shared" si="595"/>
        <v>0</v>
      </c>
      <c r="AA360" s="503">
        <f t="shared" si="595"/>
        <v>0</v>
      </c>
      <c r="AB360" s="503">
        <f t="shared" si="595"/>
        <v>0</v>
      </c>
      <c r="AC360" s="503">
        <f t="shared" si="595"/>
        <v>0</v>
      </c>
      <c r="AD360" s="891">
        <f t="shared" si="595"/>
        <v>0</v>
      </c>
      <c r="AE360" s="701">
        <f t="shared" si="595"/>
        <v>0</v>
      </c>
      <c r="AF360" s="701">
        <f t="shared" si="595"/>
        <v>0</v>
      </c>
      <c r="AG360" s="502">
        <f t="shared" si="595"/>
        <v>0</v>
      </c>
      <c r="AH360" s="502">
        <f t="shared" si="595"/>
        <v>0</v>
      </c>
      <c r="AI360" s="502">
        <f t="shared" si="595"/>
        <v>0</v>
      </c>
      <c r="AJ360" s="502">
        <f t="shared" si="595"/>
        <v>0</v>
      </c>
      <c r="AK360" s="630">
        <f t="shared" si="595"/>
        <v>0</v>
      </c>
      <c r="AL360" s="629">
        <f t="shared" si="595"/>
        <v>8165549</v>
      </c>
      <c r="AM360" s="503">
        <f t="shared" si="595"/>
        <v>6057529</v>
      </c>
      <c r="AN360" s="552">
        <f t="shared" si="595"/>
        <v>0</v>
      </c>
      <c r="AO360" s="503">
        <f t="shared" si="595"/>
        <v>2047445</v>
      </c>
      <c r="AP360" s="503">
        <f t="shared" si="595"/>
        <v>60575</v>
      </c>
      <c r="AQ360" s="503">
        <f t="shared" si="595"/>
        <v>0</v>
      </c>
      <c r="AR360" s="630">
        <f t="shared" si="595"/>
        <v>9.7434000000000012</v>
      </c>
    </row>
    <row r="361" spans="1:44" ht="14.1" customHeight="1" x14ac:dyDescent="0.2">
      <c r="A361" s="499">
        <v>87</v>
      </c>
      <c r="B361" s="512">
        <v>2331</v>
      </c>
      <c r="C361" s="513">
        <v>691014302</v>
      </c>
      <c r="D361" s="512" t="s">
        <v>737</v>
      </c>
      <c r="E361" s="511" t="s">
        <v>743</v>
      </c>
      <c r="F361" s="499">
        <v>3111</v>
      </c>
      <c r="G361" s="511" t="s">
        <v>277</v>
      </c>
      <c r="H361" s="495" t="s">
        <v>262</v>
      </c>
      <c r="I361" s="627">
        <f t="shared" si="558"/>
        <v>1863678</v>
      </c>
      <c r="J361" s="14">
        <v>1382550</v>
      </c>
      <c r="K361" s="14">
        <v>467302</v>
      </c>
      <c r="L361" s="14">
        <v>13826</v>
      </c>
      <c r="M361" s="14">
        <v>0</v>
      </c>
      <c r="N361" s="121">
        <v>2.2052999999999998</v>
      </c>
      <c r="O361" s="696">
        <f t="shared" si="559"/>
        <v>0</v>
      </c>
      <c r="P361" s="492">
        <v>0</v>
      </c>
      <c r="Q361" s="492">
        <v>0</v>
      </c>
      <c r="R361" s="492">
        <v>0</v>
      </c>
      <c r="S361" s="492">
        <v>0</v>
      </c>
      <c r="T361" s="492">
        <v>0</v>
      </c>
      <c r="U361" s="492">
        <f>O361+P361+Q361+R361+S361+T361</f>
        <v>0</v>
      </c>
      <c r="V361" s="492">
        <v>0</v>
      </c>
      <c r="W361" s="492">
        <v>0</v>
      </c>
      <c r="X361" s="492">
        <v>0</v>
      </c>
      <c r="Y361" s="492">
        <f t="shared" ref="Y361" si="596">V361+W361+X361</f>
        <v>0</v>
      </c>
      <c r="Z361" s="492">
        <f t="shared" ref="Z361" si="597">U361+Y361</f>
        <v>0</v>
      </c>
      <c r="AA361" s="494">
        <f t="shared" ref="AA361" si="598">ROUND((U361+Y361)*33.8%,0)</f>
        <v>0</v>
      </c>
      <c r="AB361" s="494">
        <f>ROUND(U361*1%,0)</f>
        <v>0</v>
      </c>
      <c r="AC361" s="14">
        <v>0</v>
      </c>
      <c r="AD361" s="892">
        <f t="shared" si="560"/>
        <v>0</v>
      </c>
      <c r="AE361" s="702">
        <v>0</v>
      </c>
      <c r="AF361" s="702">
        <v>0</v>
      </c>
      <c r="AG361" s="491">
        <v>0</v>
      </c>
      <c r="AH361" s="491">
        <v>0</v>
      </c>
      <c r="AI361" s="491">
        <v>0</v>
      </c>
      <c r="AJ361" s="491">
        <v>0</v>
      </c>
      <c r="AK361" s="626">
        <f>SUM(AE361:AJ361)</f>
        <v>0</v>
      </c>
      <c r="AL361" s="696">
        <f>I361+AD361</f>
        <v>1863678</v>
      </c>
      <c r="AM361" s="492">
        <f>J361+U361</f>
        <v>1382550</v>
      </c>
      <c r="AN361" s="492">
        <f>Y361</f>
        <v>0</v>
      </c>
      <c r="AO361" s="492">
        <f>K361+AA361</f>
        <v>467302</v>
      </c>
      <c r="AP361" s="492">
        <f>L361+AB361</f>
        <v>13826</v>
      </c>
      <c r="AQ361" s="578">
        <f>M361+AC361</f>
        <v>0</v>
      </c>
      <c r="AR361" s="626">
        <f>N361+AK361</f>
        <v>2.2052999999999998</v>
      </c>
    </row>
    <row r="362" spans="1:44" ht="14.1" customHeight="1" x14ac:dyDescent="0.2">
      <c r="A362" s="510">
        <v>87</v>
      </c>
      <c r="B362" s="508">
        <v>2331</v>
      </c>
      <c r="C362" s="509">
        <v>691014302</v>
      </c>
      <c r="D362" s="508" t="s">
        <v>737</v>
      </c>
      <c r="E362" s="506" t="s">
        <v>744</v>
      </c>
      <c r="F362" s="507"/>
      <c r="G362" s="506"/>
      <c r="H362" s="505"/>
      <c r="I362" s="629">
        <f t="shared" ref="I362:N362" si="599">SUM(I361:I361)</f>
        <v>1863678</v>
      </c>
      <c r="J362" s="504">
        <f t="shared" si="599"/>
        <v>1382550</v>
      </c>
      <c r="K362" s="504">
        <f t="shared" si="599"/>
        <v>467302</v>
      </c>
      <c r="L362" s="504">
        <f t="shared" si="599"/>
        <v>13826</v>
      </c>
      <c r="M362" s="504">
        <f t="shared" si="599"/>
        <v>0</v>
      </c>
      <c r="N362" s="885">
        <f t="shared" si="599"/>
        <v>2.2052999999999998</v>
      </c>
      <c r="O362" s="629">
        <f t="shared" ref="O362:AR362" si="600">SUM(O361:O361)</f>
        <v>0</v>
      </c>
      <c r="P362" s="503">
        <f t="shared" si="600"/>
        <v>0</v>
      </c>
      <c r="Q362" s="503">
        <f t="shared" si="600"/>
        <v>0</v>
      </c>
      <c r="R362" s="503">
        <f t="shared" si="600"/>
        <v>0</v>
      </c>
      <c r="S362" s="503">
        <f t="shared" si="600"/>
        <v>0</v>
      </c>
      <c r="T362" s="503">
        <f t="shared" si="600"/>
        <v>0</v>
      </c>
      <c r="U362" s="503">
        <f t="shared" si="600"/>
        <v>0</v>
      </c>
      <c r="V362" s="503">
        <f t="shared" si="600"/>
        <v>0</v>
      </c>
      <c r="W362" s="503">
        <f t="shared" si="600"/>
        <v>0</v>
      </c>
      <c r="X362" s="503">
        <f t="shared" si="600"/>
        <v>0</v>
      </c>
      <c r="Y362" s="503">
        <f t="shared" si="600"/>
        <v>0</v>
      </c>
      <c r="Z362" s="503">
        <f t="shared" si="600"/>
        <v>0</v>
      </c>
      <c r="AA362" s="503">
        <f t="shared" si="600"/>
        <v>0</v>
      </c>
      <c r="AB362" s="503">
        <f t="shared" si="600"/>
        <v>0</v>
      </c>
      <c r="AC362" s="503">
        <f t="shared" si="600"/>
        <v>0</v>
      </c>
      <c r="AD362" s="891">
        <f t="shared" si="600"/>
        <v>0</v>
      </c>
      <c r="AE362" s="701">
        <f t="shared" si="600"/>
        <v>0</v>
      </c>
      <c r="AF362" s="701">
        <f t="shared" si="600"/>
        <v>0</v>
      </c>
      <c r="AG362" s="502">
        <f t="shared" si="600"/>
        <v>0</v>
      </c>
      <c r="AH362" s="502">
        <f t="shared" si="600"/>
        <v>0</v>
      </c>
      <c r="AI362" s="502">
        <f t="shared" si="600"/>
        <v>0</v>
      </c>
      <c r="AJ362" s="502">
        <f t="shared" si="600"/>
        <v>0</v>
      </c>
      <c r="AK362" s="630">
        <f t="shared" si="600"/>
        <v>0</v>
      </c>
      <c r="AL362" s="629">
        <f t="shared" si="600"/>
        <v>1863678</v>
      </c>
      <c r="AM362" s="503">
        <f t="shared" si="600"/>
        <v>1382550</v>
      </c>
      <c r="AN362" s="552">
        <f t="shared" si="600"/>
        <v>0</v>
      </c>
      <c r="AO362" s="503">
        <f t="shared" si="600"/>
        <v>467302</v>
      </c>
      <c r="AP362" s="503">
        <f t="shared" si="600"/>
        <v>13826</v>
      </c>
      <c r="AQ362" s="503">
        <f t="shared" si="600"/>
        <v>0</v>
      </c>
      <c r="AR362" s="630">
        <f t="shared" si="600"/>
        <v>2.2052999999999998</v>
      </c>
    </row>
    <row r="363" spans="1:44" ht="14.1" customHeight="1" x14ac:dyDescent="0.2">
      <c r="A363" s="499">
        <v>88</v>
      </c>
      <c r="B363" s="498">
        <v>2332</v>
      </c>
      <c r="C363" s="498">
        <v>691015295</v>
      </c>
      <c r="D363" s="497">
        <v>10988122</v>
      </c>
      <c r="E363" s="496" t="s">
        <v>754</v>
      </c>
      <c r="F363" s="501">
        <v>3111</v>
      </c>
      <c r="G363" s="500" t="s">
        <v>277</v>
      </c>
      <c r="H363" s="495" t="s">
        <v>262</v>
      </c>
      <c r="I363" s="627">
        <f t="shared" si="558"/>
        <v>5112977</v>
      </c>
      <c r="J363" s="14">
        <v>3793010</v>
      </c>
      <c r="K363" s="14">
        <v>1282037</v>
      </c>
      <c r="L363" s="14">
        <v>37930</v>
      </c>
      <c r="M363" s="14">
        <v>0</v>
      </c>
      <c r="N363" s="121">
        <v>6.6773999999999996</v>
      </c>
      <c r="O363" s="696">
        <f t="shared" si="559"/>
        <v>0</v>
      </c>
      <c r="P363" s="492">
        <v>0</v>
      </c>
      <c r="Q363" s="492">
        <v>0</v>
      </c>
      <c r="R363" s="492">
        <v>0</v>
      </c>
      <c r="S363" s="492">
        <v>0</v>
      </c>
      <c r="T363" s="492">
        <v>0</v>
      </c>
      <c r="U363" s="492">
        <f>O363+P363+Q363+R363+S363+T363</f>
        <v>0</v>
      </c>
      <c r="V363" s="492">
        <v>0</v>
      </c>
      <c r="W363" s="492">
        <v>0</v>
      </c>
      <c r="X363" s="492">
        <v>0</v>
      </c>
      <c r="Y363" s="492">
        <f t="shared" ref="Y363:Y364" si="601">V363+W363+X363</f>
        <v>0</v>
      </c>
      <c r="Z363" s="492">
        <f t="shared" ref="Z363:Z364" si="602">U363+Y363</f>
        <v>0</v>
      </c>
      <c r="AA363" s="494">
        <f t="shared" ref="AA363:AA364" si="603">ROUND((U363+Y363)*33.8%,0)</f>
        <v>0</v>
      </c>
      <c r="AB363" s="494">
        <f>ROUND(U363*1%,0)</f>
        <v>0</v>
      </c>
      <c r="AC363" s="14">
        <v>0</v>
      </c>
      <c r="AD363" s="892">
        <f t="shared" si="560"/>
        <v>0</v>
      </c>
      <c r="AE363" s="702">
        <v>0</v>
      </c>
      <c r="AF363" s="702">
        <v>0</v>
      </c>
      <c r="AG363" s="491">
        <v>0</v>
      </c>
      <c r="AH363" s="491">
        <v>0</v>
      </c>
      <c r="AI363" s="491">
        <v>0</v>
      </c>
      <c r="AJ363" s="491">
        <v>0</v>
      </c>
      <c r="AK363" s="626">
        <f>SUM(AE363:AJ363)</f>
        <v>0</v>
      </c>
      <c r="AL363" s="696">
        <f>I363+AD363</f>
        <v>5112977</v>
      </c>
      <c r="AM363" s="492">
        <f>J363+U363</f>
        <v>3793010</v>
      </c>
      <c r="AN363" s="492">
        <f>Y363</f>
        <v>0</v>
      </c>
      <c r="AO363" s="492">
        <f t="shared" ref="AO363:AQ364" si="604">K363+AA363</f>
        <v>1282037</v>
      </c>
      <c r="AP363" s="492">
        <f t="shared" si="604"/>
        <v>37930</v>
      </c>
      <c r="AQ363" s="578">
        <f t="shared" si="604"/>
        <v>0</v>
      </c>
      <c r="AR363" s="626">
        <f>N363+AK363</f>
        <v>6.6773999999999996</v>
      </c>
    </row>
    <row r="364" spans="1:44" ht="14.1" customHeight="1" x14ac:dyDescent="0.2">
      <c r="A364" s="499">
        <v>88</v>
      </c>
      <c r="B364" s="498">
        <v>2332</v>
      </c>
      <c r="C364" s="498">
        <v>691015295</v>
      </c>
      <c r="D364" s="497">
        <v>10988122</v>
      </c>
      <c r="E364" s="496" t="s">
        <v>754</v>
      </c>
      <c r="F364" s="501">
        <v>3111</v>
      </c>
      <c r="G364" s="500" t="s">
        <v>278</v>
      </c>
      <c r="H364" s="495" t="s">
        <v>263</v>
      </c>
      <c r="I364" s="627">
        <f t="shared" si="558"/>
        <v>0</v>
      </c>
      <c r="J364" s="490">
        <v>0</v>
      </c>
      <c r="K364" s="14">
        <v>0</v>
      </c>
      <c r="L364" s="14">
        <v>0</v>
      </c>
      <c r="M364" s="14">
        <v>0</v>
      </c>
      <c r="N364" s="682">
        <v>0</v>
      </c>
      <c r="O364" s="696">
        <f t="shared" si="559"/>
        <v>0</v>
      </c>
      <c r="P364" s="490">
        <v>396847</v>
      </c>
      <c r="Q364" s="492">
        <v>0</v>
      </c>
      <c r="R364" s="492">
        <v>0</v>
      </c>
      <c r="S364" s="492">
        <v>0</v>
      </c>
      <c r="T364" s="492">
        <v>0</v>
      </c>
      <c r="U364" s="492">
        <f>O364+P364+Q364+R364+S364+T364</f>
        <v>396847</v>
      </c>
      <c r="V364" s="492">
        <v>0</v>
      </c>
      <c r="W364" s="492">
        <v>0</v>
      </c>
      <c r="X364" s="492">
        <v>0</v>
      </c>
      <c r="Y364" s="492">
        <f t="shared" si="601"/>
        <v>0</v>
      </c>
      <c r="Z364" s="492">
        <f t="shared" si="602"/>
        <v>396847</v>
      </c>
      <c r="AA364" s="494">
        <f t="shared" si="603"/>
        <v>134134</v>
      </c>
      <c r="AB364" s="494">
        <f>ROUND(U364*1%,0)</f>
        <v>3968</v>
      </c>
      <c r="AC364" s="14">
        <v>0</v>
      </c>
      <c r="AD364" s="892">
        <f t="shared" si="560"/>
        <v>534949</v>
      </c>
      <c r="AE364" s="702">
        <v>0</v>
      </c>
      <c r="AF364" s="11">
        <v>1</v>
      </c>
      <c r="AG364" s="491">
        <v>0</v>
      </c>
      <c r="AH364" s="491">
        <v>0</v>
      </c>
      <c r="AI364" s="491">
        <v>0</v>
      </c>
      <c r="AJ364" s="491">
        <v>0</v>
      </c>
      <c r="AK364" s="626">
        <f>SUM(AE364:AJ364)</f>
        <v>1</v>
      </c>
      <c r="AL364" s="696">
        <f>I364+AD364</f>
        <v>534949</v>
      </c>
      <c r="AM364" s="492">
        <f>J364+U364</f>
        <v>396847</v>
      </c>
      <c r="AN364" s="492">
        <f>Y364</f>
        <v>0</v>
      </c>
      <c r="AO364" s="492">
        <f t="shared" si="604"/>
        <v>134134</v>
      </c>
      <c r="AP364" s="492">
        <f t="shared" si="604"/>
        <v>3968</v>
      </c>
      <c r="AQ364" s="578">
        <f t="shared" si="604"/>
        <v>0</v>
      </c>
      <c r="AR364" s="626">
        <f>N364+AK364</f>
        <v>1</v>
      </c>
    </row>
    <row r="365" spans="1:44" ht="14.1" customHeight="1" thickBot="1" x14ac:dyDescent="0.25">
      <c r="A365" s="510">
        <v>88</v>
      </c>
      <c r="B365" s="489">
        <v>2332</v>
      </c>
      <c r="C365" s="489">
        <v>691015295</v>
      </c>
      <c r="D365" s="488">
        <v>10988122</v>
      </c>
      <c r="E365" s="487" t="s">
        <v>755</v>
      </c>
      <c r="F365" s="133"/>
      <c r="G365" s="134"/>
      <c r="H365" s="134"/>
      <c r="I365" s="699">
        <f t="shared" ref="I365:N365" si="605">SUM(I363:I364)</f>
        <v>5112977</v>
      </c>
      <c r="J365" s="486">
        <f t="shared" si="605"/>
        <v>3793010</v>
      </c>
      <c r="K365" s="486">
        <f t="shared" si="605"/>
        <v>1282037</v>
      </c>
      <c r="L365" s="486">
        <f t="shared" si="605"/>
        <v>37930</v>
      </c>
      <c r="M365" s="486">
        <f t="shared" si="605"/>
        <v>0</v>
      </c>
      <c r="N365" s="888">
        <f t="shared" si="605"/>
        <v>6.6773999999999996</v>
      </c>
      <c r="O365" s="895">
        <f t="shared" ref="O365:AR365" si="606">SUM(O363:O364)</f>
        <v>0</v>
      </c>
      <c r="P365" s="552">
        <f t="shared" si="606"/>
        <v>396847</v>
      </c>
      <c r="Q365" s="552">
        <f t="shared" si="606"/>
        <v>0</v>
      </c>
      <c r="R365" s="552">
        <f t="shared" si="606"/>
        <v>0</v>
      </c>
      <c r="S365" s="552">
        <f t="shared" si="606"/>
        <v>0</v>
      </c>
      <c r="T365" s="552">
        <f t="shared" si="606"/>
        <v>0</v>
      </c>
      <c r="U365" s="552">
        <f t="shared" si="606"/>
        <v>396847</v>
      </c>
      <c r="V365" s="552">
        <f t="shared" si="606"/>
        <v>0</v>
      </c>
      <c r="W365" s="552">
        <f t="shared" si="606"/>
        <v>0</v>
      </c>
      <c r="X365" s="552">
        <f t="shared" si="606"/>
        <v>0</v>
      </c>
      <c r="Y365" s="552">
        <f t="shared" si="606"/>
        <v>0</v>
      </c>
      <c r="Z365" s="552">
        <f t="shared" si="606"/>
        <v>396847</v>
      </c>
      <c r="AA365" s="552">
        <f t="shared" si="606"/>
        <v>134134</v>
      </c>
      <c r="AB365" s="552">
        <f t="shared" si="606"/>
        <v>3968</v>
      </c>
      <c r="AC365" s="552">
        <f t="shared" si="606"/>
        <v>0</v>
      </c>
      <c r="AD365" s="896">
        <f t="shared" si="606"/>
        <v>534949</v>
      </c>
      <c r="AE365" s="728">
        <f t="shared" si="606"/>
        <v>0</v>
      </c>
      <c r="AF365" s="728">
        <f t="shared" si="606"/>
        <v>1</v>
      </c>
      <c r="AG365" s="484">
        <f t="shared" si="606"/>
        <v>0</v>
      </c>
      <c r="AH365" s="484">
        <f t="shared" si="606"/>
        <v>0</v>
      </c>
      <c r="AI365" s="484">
        <f t="shared" si="606"/>
        <v>0</v>
      </c>
      <c r="AJ365" s="484">
        <f t="shared" si="606"/>
        <v>0</v>
      </c>
      <c r="AK365" s="483">
        <f t="shared" si="606"/>
        <v>1</v>
      </c>
      <c r="AL365" s="699">
        <f t="shared" si="606"/>
        <v>5647926</v>
      </c>
      <c r="AM365" s="485">
        <f t="shared" si="606"/>
        <v>4189857</v>
      </c>
      <c r="AN365" s="485">
        <f t="shared" si="606"/>
        <v>0</v>
      </c>
      <c r="AO365" s="485">
        <f t="shared" si="606"/>
        <v>1416171</v>
      </c>
      <c r="AP365" s="485">
        <f t="shared" si="606"/>
        <v>41898</v>
      </c>
      <c r="AQ365" s="485">
        <f t="shared" si="606"/>
        <v>0</v>
      </c>
      <c r="AR365" s="483">
        <f t="shared" si="606"/>
        <v>7.6773999999999996</v>
      </c>
    </row>
    <row r="366" spans="1:44" ht="14.1" customHeight="1" thickBot="1" x14ac:dyDescent="0.25">
      <c r="A366" s="482"/>
      <c r="B366" s="480"/>
      <c r="C366" s="480"/>
      <c r="D366" s="480"/>
      <c r="E366" s="481" t="s">
        <v>682</v>
      </c>
      <c r="F366" s="480"/>
      <c r="G366" s="480"/>
      <c r="H366" s="480"/>
      <c r="I366" s="700">
        <f t="shared" ref="I366:AR366" si="607">I365+I362+I360+I355+I349+I344+I339+I334+I328+I323+I318+I312+I309+I304+I299+I296+I291+I286+I280+I276+I269+I266+I263+I260+I258+I254+I251+I246+I241+I239+I232+I228+I223+I220+I215+I212+I209+I207+I202+I197+I192+I187+I182+I177+I172+I167+I163+I158+I152+I146+I141+I135+I130+I125+I120+I115+I110+I104+I98+I94+I91+I89+I86+I83+I81+I78+I75+I72+I69+I66+I63+I60+I56+I54+I51+I48+I45+I43+I41+I39+I36+I33+I30+I27+I24+I20+I17+I13</f>
        <v>1622952060</v>
      </c>
      <c r="J366" s="478">
        <f t="shared" si="607"/>
        <v>1203970369</v>
      </c>
      <c r="K366" s="478">
        <f t="shared" si="607"/>
        <v>406941983</v>
      </c>
      <c r="L366" s="478">
        <f t="shared" si="607"/>
        <v>12039708</v>
      </c>
      <c r="M366" s="478">
        <f t="shared" si="607"/>
        <v>0</v>
      </c>
      <c r="N366" s="889">
        <f t="shared" si="607"/>
        <v>1791.4689000000001</v>
      </c>
      <c r="O366" s="897">
        <f t="shared" si="607"/>
        <v>-3613860</v>
      </c>
      <c r="P366" s="898">
        <f t="shared" si="607"/>
        <v>113267150</v>
      </c>
      <c r="Q366" s="898">
        <f t="shared" si="607"/>
        <v>1346215</v>
      </c>
      <c r="R366" s="898">
        <f t="shared" si="607"/>
        <v>1354661</v>
      </c>
      <c r="S366" s="898">
        <f t="shared" si="607"/>
        <v>0</v>
      </c>
      <c r="T366" s="898">
        <f t="shared" si="607"/>
        <v>0</v>
      </c>
      <c r="U366" s="898">
        <f t="shared" si="607"/>
        <v>112354166</v>
      </c>
      <c r="V366" s="898">
        <f t="shared" si="607"/>
        <v>3613860</v>
      </c>
      <c r="W366" s="898">
        <f t="shared" si="607"/>
        <v>665096</v>
      </c>
      <c r="X366" s="898">
        <f t="shared" si="607"/>
        <v>0</v>
      </c>
      <c r="Y366" s="898">
        <f t="shared" si="607"/>
        <v>4278956</v>
      </c>
      <c r="Z366" s="898">
        <f t="shared" si="607"/>
        <v>116633122</v>
      </c>
      <c r="AA366" s="898">
        <f t="shared" si="607"/>
        <v>39421991</v>
      </c>
      <c r="AB366" s="898">
        <f t="shared" si="607"/>
        <v>1123537</v>
      </c>
      <c r="AC366" s="898">
        <f t="shared" ref="AC366:AD366" si="608">AC365+AC362+AC360+AC355+AC349+AC344+AC339+AC334+AC328+AC323+AC318+AC312+AC309+AC304+AC299+AC296+AC291+AC286+AC280+AC276+AC269+AC266+AC263+AC260+AC258+AC254+AC251+AC246+AC241+AC239+AC232+AC228+AC223+AC220+AC215+AC212+AC209+AC207+AC202+AC197+AC192+AC187+AC182+AC177+AC172+AC167+AC163+AC158+AC152+AC146+AC141+AC135+AC130+AC125+AC120+AC115+AC110+AC104+AC98+AC94+AC91+AC89+AC86+AC83+AC81+AC78+AC75+AC72+AC69+AC66+AC63+AC60+AC56+AC54+AC51+AC48+AC45+AC43+AC41+AC39+AC36+AC33+AC30+AC27+AC24+AC20+AC17+AC13</f>
        <v>0</v>
      </c>
      <c r="AD366" s="899">
        <f t="shared" si="608"/>
        <v>157178650</v>
      </c>
      <c r="AE366" s="706">
        <f t="shared" si="607"/>
        <v>-4.1099999999999985</v>
      </c>
      <c r="AF366" s="706">
        <f t="shared" si="607"/>
        <v>283.52999999999992</v>
      </c>
      <c r="AG366" s="477">
        <f t="shared" si="607"/>
        <v>2.33</v>
      </c>
      <c r="AH366" s="477">
        <f t="shared" si="607"/>
        <v>1.9500000000000002</v>
      </c>
      <c r="AI366" s="477">
        <f t="shared" si="607"/>
        <v>0</v>
      </c>
      <c r="AJ366" s="477">
        <f t="shared" si="607"/>
        <v>0</v>
      </c>
      <c r="AK366" s="641">
        <f t="shared" si="607"/>
        <v>283.70000000000005</v>
      </c>
      <c r="AL366" s="700">
        <f t="shared" si="607"/>
        <v>1780130710</v>
      </c>
      <c r="AM366" s="479">
        <f t="shared" si="607"/>
        <v>1316324535</v>
      </c>
      <c r="AN366" s="479">
        <f t="shared" si="607"/>
        <v>4278956</v>
      </c>
      <c r="AO366" s="479">
        <f t="shared" si="607"/>
        <v>446363974</v>
      </c>
      <c r="AP366" s="479">
        <f t="shared" si="607"/>
        <v>13163245</v>
      </c>
      <c r="AQ366" s="479">
        <f t="shared" si="607"/>
        <v>0</v>
      </c>
      <c r="AR366" s="641">
        <f t="shared" si="607"/>
        <v>2075.168900000001</v>
      </c>
    </row>
    <row r="367" spans="1:44" ht="14.1" customHeight="1" x14ac:dyDescent="0.2">
      <c r="I367" s="328">
        <f>SUM(J366:M366)</f>
        <v>1622952060</v>
      </c>
      <c r="J367" s="328"/>
      <c r="K367" s="328"/>
      <c r="L367" s="328"/>
      <c r="M367" s="328"/>
      <c r="N367" s="329"/>
      <c r="O367" s="328">
        <f>V366</f>
        <v>3613860</v>
      </c>
      <c r="P367" s="329"/>
      <c r="Q367" s="329"/>
      <c r="R367" s="329"/>
      <c r="S367" s="328"/>
      <c r="T367" s="329"/>
      <c r="U367" s="330">
        <f>SUM(O366:T366)</f>
        <v>112354166</v>
      </c>
      <c r="V367" s="330">
        <f>O366</f>
        <v>-3613860</v>
      </c>
      <c r="W367" s="331"/>
      <c r="X367" s="331"/>
      <c r="Y367" s="330">
        <f>SUM(V366:X366)</f>
        <v>4278956</v>
      </c>
      <c r="Z367" s="330">
        <f>U366+Y366</f>
        <v>116633122</v>
      </c>
      <c r="AA367" s="332"/>
      <c r="AB367" s="332"/>
      <c r="AC367" s="330"/>
      <c r="AD367" s="330">
        <f>SUM(Z366:AC366)</f>
        <v>157178650</v>
      </c>
      <c r="AE367" s="333"/>
      <c r="AF367" s="333"/>
      <c r="AG367" s="333"/>
      <c r="AH367" s="333"/>
      <c r="AI367" s="381"/>
      <c r="AJ367" s="333"/>
      <c r="AK367" s="381">
        <f>SUM(AE366:AJ366)</f>
        <v>283.69999999999987</v>
      </c>
      <c r="AL367" s="328">
        <f>SUM(AM366:AQ366)</f>
        <v>1780130710</v>
      </c>
      <c r="AM367" s="328"/>
      <c r="AN367" s="58"/>
      <c r="AO367" s="330"/>
      <c r="AP367" s="330"/>
      <c r="AQ367" s="330">
        <f>M366+AC366</f>
        <v>0</v>
      </c>
      <c r="AR367" s="329"/>
    </row>
    <row r="368" spans="1:44" ht="14.1" customHeight="1" thickBot="1" x14ac:dyDescent="0.25">
      <c r="H368" s="475"/>
      <c r="I368" s="328">
        <f>SUM(J369:M369)</f>
        <v>1622952060</v>
      </c>
      <c r="J368" s="328"/>
      <c r="K368" s="328"/>
      <c r="L368" s="328"/>
      <c r="M368" s="328"/>
      <c r="N368" s="329"/>
      <c r="O368" s="328">
        <f>V369</f>
        <v>3613860</v>
      </c>
      <c r="P368" s="329"/>
      <c r="Q368" s="329"/>
      <c r="R368" s="329"/>
      <c r="S368" s="328"/>
      <c r="T368" s="329"/>
      <c r="U368" s="330">
        <f>SUM(O369:T369)</f>
        <v>112354166</v>
      </c>
      <c r="V368" s="330"/>
      <c r="W368" s="331"/>
      <c r="X368" s="331"/>
      <c r="Y368" s="330">
        <f>SUM(V369:X369)</f>
        <v>4278956</v>
      </c>
      <c r="Z368" s="330">
        <f>U369+Y369</f>
        <v>116633122</v>
      </c>
      <c r="AA368" s="332"/>
      <c r="AB368" s="332"/>
      <c r="AC368" s="330"/>
      <c r="AD368" s="330">
        <f>SUM(Z369:AC369)</f>
        <v>157178650</v>
      </c>
      <c r="AE368" s="333"/>
      <c r="AF368" s="333"/>
      <c r="AG368" s="333"/>
      <c r="AH368" s="333"/>
      <c r="AI368" s="381"/>
      <c r="AJ368" s="333"/>
      <c r="AK368" s="381">
        <f>SUM(AE369:AJ369)</f>
        <v>283.7</v>
      </c>
      <c r="AL368" s="328">
        <f>AM369+AN369+AO369+AP369+AQ369</f>
        <v>1780130710</v>
      </c>
      <c r="AM368" s="328"/>
      <c r="AN368" s="58"/>
      <c r="AO368" s="48"/>
      <c r="AP368" s="48"/>
      <c r="AQ368" s="48"/>
      <c r="AR368" s="329"/>
    </row>
    <row r="369" spans="4:44" customFormat="1" ht="13.5" thickBot="1" x14ac:dyDescent="0.25">
      <c r="D369" s="8"/>
      <c r="E369" s="4"/>
      <c r="F369" s="8"/>
      <c r="G369" s="17"/>
      <c r="H369" s="19" t="s">
        <v>0</v>
      </c>
      <c r="I369" s="96">
        <f t="shared" ref="I369:AL369" si="609">SUM(I370:I379)</f>
        <v>1622952060</v>
      </c>
      <c r="J369" s="31">
        <f t="shared" si="609"/>
        <v>1203970369</v>
      </c>
      <c r="K369" s="31">
        <f t="shared" si="609"/>
        <v>406941983</v>
      </c>
      <c r="L369" s="31">
        <f t="shared" si="609"/>
        <v>12039708</v>
      </c>
      <c r="M369" s="31">
        <f t="shared" ref="M369" si="610">SUM(M370:M379)</f>
        <v>0</v>
      </c>
      <c r="N369" s="647">
        <f t="shared" si="609"/>
        <v>1791.4688999999998</v>
      </c>
      <c r="O369" s="101">
        <f t="shared" si="609"/>
        <v>-3613860</v>
      </c>
      <c r="P369" s="31">
        <f t="shared" si="609"/>
        <v>113267150</v>
      </c>
      <c r="Q369" s="31">
        <f t="shared" si="609"/>
        <v>1346215</v>
      </c>
      <c r="R369" s="31">
        <f t="shared" si="609"/>
        <v>1354661</v>
      </c>
      <c r="S369" s="31">
        <f t="shared" si="609"/>
        <v>0</v>
      </c>
      <c r="T369" s="31">
        <f t="shared" si="609"/>
        <v>0</v>
      </c>
      <c r="U369" s="31">
        <f t="shared" si="609"/>
        <v>112354166</v>
      </c>
      <c r="V369" s="31">
        <f t="shared" si="609"/>
        <v>3613860</v>
      </c>
      <c r="W369" s="31">
        <f t="shared" si="609"/>
        <v>665096</v>
      </c>
      <c r="X369" s="31">
        <f t="shared" si="609"/>
        <v>0</v>
      </c>
      <c r="Y369" s="31">
        <f t="shared" si="609"/>
        <v>4278956</v>
      </c>
      <c r="Z369" s="31">
        <f t="shared" si="609"/>
        <v>116633122</v>
      </c>
      <c r="AA369" s="31">
        <f t="shared" si="609"/>
        <v>39421991</v>
      </c>
      <c r="AB369" s="31">
        <f t="shared" si="609"/>
        <v>1123537</v>
      </c>
      <c r="AC369" s="31">
        <f t="shared" si="609"/>
        <v>0</v>
      </c>
      <c r="AD369" s="642">
        <f t="shared" si="609"/>
        <v>157178650</v>
      </c>
      <c r="AE369" s="646">
        <f t="shared" si="609"/>
        <v>-4.1100000000000003</v>
      </c>
      <c r="AF369" s="32">
        <f t="shared" si="609"/>
        <v>283.53000000000003</v>
      </c>
      <c r="AG369" s="32">
        <f t="shared" si="609"/>
        <v>2.33</v>
      </c>
      <c r="AH369" s="32">
        <f t="shared" si="609"/>
        <v>1.9500000000000004</v>
      </c>
      <c r="AI369" s="32">
        <f t="shared" si="609"/>
        <v>0</v>
      </c>
      <c r="AJ369" s="32">
        <f t="shared" si="609"/>
        <v>0</v>
      </c>
      <c r="AK369" s="647">
        <f t="shared" si="609"/>
        <v>283.7</v>
      </c>
      <c r="AL369" s="96">
        <f t="shared" si="609"/>
        <v>1780130710</v>
      </c>
      <c r="AM369" s="31">
        <f t="shared" ref="AM369:AR369" si="611">SUM(AM370:AM379)</f>
        <v>1316324535</v>
      </c>
      <c r="AN369" s="31">
        <f t="shared" si="611"/>
        <v>4278956</v>
      </c>
      <c r="AO369" s="31">
        <f t="shared" si="611"/>
        <v>446363974</v>
      </c>
      <c r="AP369" s="31">
        <f t="shared" si="611"/>
        <v>13163245</v>
      </c>
      <c r="AQ369" s="31">
        <f t="shared" ref="AQ369" si="612">SUM(AQ370:AQ379)</f>
        <v>0</v>
      </c>
      <c r="AR369" s="647">
        <f t="shared" si="611"/>
        <v>2075.1689000000001</v>
      </c>
    </row>
    <row r="370" spans="4:44" customFormat="1" ht="12.75" x14ac:dyDescent="0.2">
      <c r="D370" s="8"/>
      <c r="E370" s="4"/>
      <c r="F370" s="8"/>
      <c r="G370" s="17"/>
      <c r="H370" s="1">
        <v>3111</v>
      </c>
      <c r="I370" s="370">
        <f t="shared" ref="I370:AR370" si="613">SUMIF($F$12:$F$366,"=3111",I$12:I$366)</f>
        <v>366286309</v>
      </c>
      <c r="J370" s="371">
        <f t="shared" si="613"/>
        <v>271725748</v>
      </c>
      <c r="K370" s="371">
        <f t="shared" si="613"/>
        <v>91843301</v>
      </c>
      <c r="L370" s="371">
        <f t="shared" si="613"/>
        <v>2717260</v>
      </c>
      <c r="M370" s="371">
        <f t="shared" si="613"/>
        <v>0</v>
      </c>
      <c r="N370" s="649">
        <f t="shared" si="613"/>
        <v>454.8033999999999</v>
      </c>
      <c r="O370" s="372">
        <f t="shared" si="613"/>
        <v>-405060</v>
      </c>
      <c r="P370" s="371">
        <f t="shared" si="613"/>
        <v>19398264</v>
      </c>
      <c r="Q370" s="371">
        <f t="shared" si="613"/>
        <v>0</v>
      </c>
      <c r="R370" s="371">
        <f t="shared" si="613"/>
        <v>0</v>
      </c>
      <c r="S370" s="371">
        <f t="shared" si="613"/>
        <v>0</v>
      </c>
      <c r="T370" s="371">
        <f t="shared" si="613"/>
        <v>0</v>
      </c>
      <c r="U370" s="371">
        <f t="shared" si="613"/>
        <v>18993204</v>
      </c>
      <c r="V370" s="371">
        <f t="shared" si="613"/>
        <v>405060</v>
      </c>
      <c r="W370" s="371">
        <f t="shared" si="613"/>
        <v>0</v>
      </c>
      <c r="X370" s="371">
        <f t="shared" si="613"/>
        <v>0</v>
      </c>
      <c r="Y370" s="371">
        <f t="shared" si="613"/>
        <v>405060</v>
      </c>
      <c r="Z370" s="371">
        <f t="shared" si="613"/>
        <v>19398264</v>
      </c>
      <c r="AA370" s="371">
        <f t="shared" si="613"/>
        <v>6556611</v>
      </c>
      <c r="AB370" s="371">
        <f t="shared" si="613"/>
        <v>189929</v>
      </c>
      <c r="AC370" s="371">
        <f t="shared" si="613"/>
        <v>0</v>
      </c>
      <c r="AD370" s="643">
        <f t="shared" si="613"/>
        <v>26144804</v>
      </c>
      <c r="AE370" s="648">
        <f t="shared" si="613"/>
        <v>-0.32</v>
      </c>
      <c r="AF370" s="373">
        <f t="shared" si="613"/>
        <v>49.38</v>
      </c>
      <c r="AG370" s="373">
        <f t="shared" si="613"/>
        <v>0</v>
      </c>
      <c r="AH370" s="373">
        <f t="shared" si="613"/>
        <v>0</v>
      </c>
      <c r="AI370" s="373">
        <f t="shared" si="613"/>
        <v>0</v>
      </c>
      <c r="AJ370" s="373">
        <f t="shared" si="613"/>
        <v>0</v>
      </c>
      <c r="AK370" s="649">
        <f t="shared" si="613"/>
        <v>49.059999999999995</v>
      </c>
      <c r="AL370" s="370">
        <f t="shared" si="613"/>
        <v>392431113</v>
      </c>
      <c r="AM370" s="371">
        <f t="shared" si="613"/>
        <v>290718952</v>
      </c>
      <c r="AN370" s="371">
        <f t="shared" si="613"/>
        <v>405060</v>
      </c>
      <c r="AO370" s="371">
        <f t="shared" si="613"/>
        <v>98399912</v>
      </c>
      <c r="AP370" s="371">
        <f t="shared" si="613"/>
        <v>2907189</v>
      </c>
      <c r="AQ370" s="371">
        <f t="shared" si="613"/>
        <v>0</v>
      </c>
      <c r="AR370" s="649">
        <f t="shared" si="613"/>
        <v>503.8633999999999</v>
      </c>
    </row>
    <row r="371" spans="4:44" customFormat="1" ht="12.75" x14ac:dyDescent="0.2">
      <c r="D371" s="8"/>
      <c r="E371" s="4"/>
      <c r="F371" s="8"/>
      <c r="G371" s="17"/>
      <c r="H371" s="2">
        <v>3113</v>
      </c>
      <c r="I371" s="370">
        <f t="shared" ref="I371:AR371" si="614">SUMIF($F$12:$F$366,"=3113",I$12:I$366)</f>
        <v>928806473</v>
      </c>
      <c r="J371" s="14">
        <f t="shared" si="614"/>
        <v>689025575</v>
      </c>
      <c r="K371" s="14">
        <f t="shared" si="614"/>
        <v>232890642</v>
      </c>
      <c r="L371" s="14">
        <f t="shared" si="614"/>
        <v>6890256</v>
      </c>
      <c r="M371" s="14">
        <f t="shared" si="614"/>
        <v>0</v>
      </c>
      <c r="N371" s="651">
        <f t="shared" si="614"/>
        <v>934.71480000000008</v>
      </c>
      <c r="O371" s="120">
        <f t="shared" si="614"/>
        <v>-1753000</v>
      </c>
      <c r="P371" s="14">
        <f t="shared" si="614"/>
        <v>84982182</v>
      </c>
      <c r="Q371" s="14">
        <f t="shared" si="614"/>
        <v>1346215</v>
      </c>
      <c r="R371" s="14">
        <f t="shared" si="614"/>
        <v>1354661</v>
      </c>
      <c r="S371" s="14">
        <f t="shared" si="614"/>
        <v>0</v>
      </c>
      <c r="T371" s="14">
        <f t="shared" si="614"/>
        <v>0</v>
      </c>
      <c r="U371" s="14">
        <f t="shared" si="614"/>
        <v>85930058</v>
      </c>
      <c r="V371" s="14">
        <f t="shared" si="614"/>
        <v>1753000</v>
      </c>
      <c r="W371" s="14">
        <f t="shared" si="614"/>
        <v>665096</v>
      </c>
      <c r="X371" s="14">
        <f t="shared" si="614"/>
        <v>0</v>
      </c>
      <c r="Y371" s="14">
        <f t="shared" si="614"/>
        <v>2418096</v>
      </c>
      <c r="Z371" s="14">
        <f t="shared" si="614"/>
        <v>88348154</v>
      </c>
      <c r="AA371" s="14">
        <f t="shared" si="614"/>
        <v>29861675</v>
      </c>
      <c r="AB371" s="14">
        <f t="shared" si="614"/>
        <v>859299</v>
      </c>
      <c r="AC371" s="14">
        <f t="shared" si="614"/>
        <v>0</v>
      </c>
      <c r="AD371" s="644">
        <f t="shared" si="614"/>
        <v>119069128</v>
      </c>
      <c r="AE371" s="650">
        <f t="shared" si="614"/>
        <v>-1.7300000000000002</v>
      </c>
      <c r="AF371" s="11">
        <f t="shared" si="614"/>
        <v>212.03</v>
      </c>
      <c r="AG371" s="11">
        <f t="shared" si="614"/>
        <v>2.33</v>
      </c>
      <c r="AH371" s="11">
        <f t="shared" si="614"/>
        <v>1.9500000000000004</v>
      </c>
      <c r="AI371" s="11">
        <f t="shared" si="614"/>
        <v>0</v>
      </c>
      <c r="AJ371" s="11">
        <f t="shared" si="614"/>
        <v>0</v>
      </c>
      <c r="AK371" s="651">
        <f t="shared" si="614"/>
        <v>214.57999999999998</v>
      </c>
      <c r="AL371" s="119">
        <f t="shared" si="614"/>
        <v>1047875601</v>
      </c>
      <c r="AM371" s="14">
        <f t="shared" si="614"/>
        <v>774955633</v>
      </c>
      <c r="AN371" s="14">
        <f t="shared" si="614"/>
        <v>2418096</v>
      </c>
      <c r="AO371" s="14">
        <f t="shared" si="614"/>
        <v>262752317</v>
      </c>
      <c r="AP371" s="14">
        <f t="shared" si="614"/>
        <v>7749555</v>
      </c>
      <c r="AQ371" s="14">
        <f t="shared" si="614"/>
        <v>0</v>
      </c>
      <c r="AR371" s="651">
        <f t="shared" si="614"/>
        <v>1149.2948000000001</v>
      </c>
    </row>
    <row r="372" spans="4:44" customFormat="1" ht="12.75" x14ac:dyDescent="0.2">
      <c r="D372" s="8"/>
      <c r="E372" s="4"/>
      <c r="F372" s="8"/>
      <c r="G372" s="17"/>
      <c r="H372" s="2">
        <v>3114</v>
      </c>
      <c r="I372" s="370">
        <f t="shared" ref="I372:AR372" si="615">SUMIF($F$12:$F$366,"=3114",I$12:I$366)</f>
        <v>60926956</v>
      </c>
      <c r="J372" s="14">
        <f t="shared" si="615"/>
        <v>45198038</v>
      </c>
      <c r="K372" s="14">
        <f t="shared" si="615"/>
        <v>15276937</v>
      </c>
      <c r="L372" s="14">
        <f t="shared" si="615"/>
        <v>451981</v>
      </c>
      <c r="M372" s="14">
        <f t="shared" si="615"/>
        <v>0</v>
      </c>
      <c r="N372" s="651">
        <f t="shared" si="615"/>
        <v>70.797800000000009</v>
      </c>
      <c r="O372" s="120">
        <f t="shared" si="615"/>
        <v>0</v>
      </c>
      <c r="P372" s="14">
        <f t="shared" si="615"/>
        <v>1388965</v>
      </c>
      <c r="Q372" s="14">
        <f t="shared" si="615"/>
        <v>0</v>
      </c>
      <c r="R372" s="14">
        <f t="shared" si="615"/>
        <v>0</v>
      </c>
      <c r="S372" s="14">
        <f t="shared" si="615"/>
        <v>0</v>
      </c>
      <c r="T372" s="14">
        <f t="shared" si="615"/>
        <v>0</v>
      </c>
      <c r="U372" s="14">
        <f t="shared" si="615"/>
        <v>1388965</v>
      </c>
      <c r="V372" s="14">
        <f t="shared" si="615"/>
        <v>0</v>
      </c>
      <c r="W372" s="14">
        <f t="shared" si="615"/>
        <v>0</v>
      </c>
      <c r="X372" s="14">
        <f t="shared" si="615"/>
        <v>0</v>
      </c>
      <c r="Y372" s="14">
        <f t="shared" si="615"/>
        <v>0</v>
      </c>
      <c r="Z372" s="14">
        <f t="shared" si="615"/>
        <v>1388965</v>
      </c>
      <c r="AA372" s="14">
        <f t="shared" si="615"/>
        <v>469470</v>
      </c>
      <c r="AB372" s="14">
        <f t="shared" si="615"/>
        <v>13890</v>
      </c>
      <c r="AC372" s="14">
        <f t="shared" si="615"/>
        <v>0</v>
      </c>
      <c r="AD372" s="644">
        <f t="shared" si="615"/>
        <v>1872325</v>
      </c>
      <c r="AE372" s="650">
        <f t="shared" si="615"/>
        <v>0</v>
      </c>
      <c r="AF372" s="11">
        <f t="shared" si="615"/>
        <v>3.5</v>
      </c>
      <c r="AG372" s="11">
        <f t="shared" si="615"/>
        <v>0</v>
      </c>
      <c r="AH372" s="11">
        <f t="shared" si="615"/>
        <v>0</v>
      </c>
      <c r="AI372" s="11">
        <f t="shared" si="615"/>
        <v>0</v>
      </c>
      <c r="AJ372" s="11">
        <f t="shared" si="615"/>
        <v>0</v>
      </c>
      <c r="AK372" s="651">
        <f t="shared" si="615"/>
        <v>3.5</v>
      </c>
      <c r="AL372" s="119">
        <f t="shared" si="615"/>
        <v>62799281</v>
      </c>
      <c r="AM372" s="14">
        <f t="shared" si="615"/>
        <v>46587003</v>
      </c>
      <c r="AN372" s="14">
        <f t="shared" si="615"/>
        <v>0</v>
      </c>
      <c r="AO372" s="14">
        <f t="shared" si="615"/>
        <v>15746407</v>
      </c>
      <c r="AP372" s="14">
        <f t="shared" si="615"/>
        <v>465871</v>
      </c>
      <c r="AQ372" s="14">
        <f t="shared" si="615"/>
        <v>0</v>
      </c>
      <c r="AR372" s="651">
        <f t="shared" si="615"/>
        <v>74.297800000000009</v>
      </c>
    </row>
    <row r="373" spans="4:44" customFormat="1" ht="12.75" x14ac:dyDescent="0.2">
      <c r="D373" s="8"/>
      <c r="E373" s="4"/>
      <c r="F373" s="8"/>
      <c r="G373" s="17"/>
      <c r="H373" s="2">
        <v>3117</v>
      </c>
      <c r="I373" s="370">
        <f t="shared" ref="I373:AR373" si="616">SUMIF($F$12:$F$366,"=3117",I$12:I$366)</f>
        <v>41251890</v>
      </c>
      <c r="J373" s="14">
        <f t="shared" si="616"/>
        <v>30602292</v>
      </c>
      <c r="K373" s="14">
        <f t="shared" si="616"/>
        <v>10343574</v>
      </c>
      <c r="L373" s="14">
        <f t="shared" si="616"/>
        <v>306024</v>
      </c>
      <c r="M373" s="14">
        <f t="shared" si="616"/>
        <v>0</v>
      </c>
      <c r="N373" s="651">
        <f t="shared" si="616"/>
        <v>44.077999999999996</v>
      </c>
      <c r="O373" s="120">
        <f t="shared" si="616"/>
        <v>-281800</v>
      </c>
      <c r="P373" s="14">
        <f t="shared" si="616"/>
        <v>7497739</v>
      </c>
      <c r="Q373" s="14">
        <f t="shared" si="616"/>
        <v>0</v>
      </c>
      <c r="R373" s="14">
        <f t="shared" si="616"/>
        <v>0</v>
      </c>
      <c r="S373" s="14">
        <f t="shared" si="616"/>
        <v>0</v>
      </c>
      <c r="T373" s="14">
        <f t="shared" si="616"/>
        <v>0</v>
      </c>
      <c r="U373" s="14">
        <f t="shared" si="616"/>
        <v>7215939</v>
      </c>
      <c r="V373" s="14">
        <f t="shared" si="616"/>
        <v>281800</v>
      </c>
      <c r="W373" s="14">
        <f t="shared" si="616"/>
        <v>0</v>
      </c>
      <c r="X373" s="14">
        <f t="shared" si="616"/>
        <v>0</v>
      </c>
      <c r="Y373" s="14">
        <f t="shared" si="616"/>
        <v>281800</v>
      </c>
      <c r="Z373" s="14">
        <f t="shared" si="616"/>
        <v>7497739</v>
      </c>
      <c r="AA373" s="14">
        <f t="shared" si="616"/>
        <v>2534235</v>
      </c>
      <c r="AB373" s="14">
        <f t="shared" si="616"/>
        <v>72159</v>
      </c>
      <c r="AC373" s="14">
        <f t="shared" si="616"/>
        <v>0</v>
      </c>
      <c r="AD373" s="644">
        <f t="shared" si="616"/>
        <v>10104133</v>
      </c>
      <c r="AE373" s="650">
        <f t="shared" si="616"/>
        <v>-0.32</v>
      </c>
      <c r="AF373" s="11">
        <f t="shared" si="616"/>
        <v>18.62</v>
      </c>
      <c r="AG373" s="11">
        <f t="shared" si="616"/>
        <v>0</v>
      </c>
      <c r="AH373" s="11">
        <f t="shared" si="616"/>
        <v>0</v>
      </c>
      <c r="AI373" s="11">
        <f t="shared" si="616"/>
        <v>0</v>
      </c>
      <c r="AJ373" s="11">
        <f t="shared" si="616"/>
        <v>0</v>
      </c>
      <c r="AK373" s="651">
        <f t="shared" si="616"/>
        <v>18.3</v>
      </c>
      <c r="AL373" s="119">
        <f t="shared" si="616"/>
        <v>51356023</v>
      </c>
      <c r="AM373" s="14">
        <f t="shared" si="616"/>
        <v>37818231</v>
      </c>
      <c r="AN373" s="14">
        <f t="shared" si="616"/>
        <v>281800</v>
      </c>
      <c r="AO373" s="14">
        <f t="shared" si="616"/>
        <v>12877809</v>
      </c>
      <c r="AP373" s="14">
        <f t="shared" si="616"/>
        <v>378183</v>
      </c>
      <c r="AQ373" s="14">
        <f t="shared" si="616"/>
        <v>0</v>
      </c>
      <c r="AR373" s="651">
        <f t="shared" si="616"/>
        <v>62.378</v>
      </c>
    </row>
    <row r="374" spans="4:44" customFormat="1" ht="12.75" x14ac:dyDescent="0.2">
      <c r="D374" s="8"/>
      <c r="E374" s="4"/>
      <c r="F374" s="8"/>
      <c r="G374" s="17"/>
      <c r="H374" s="2">
        <v>3122</v>
      </c>
      <c r="I374" s="370">
        <f t="shared" ref="I374:AR374" si="617">SUMIF($F$12:$F$366,"=3122",I$12:I$366)</f>
        <v>0</v>
      </c>
      <c r="J374" s="14">
        <f t="shared" si="617"/>
        <v>0</v>
      </c>
      <c r="K374" s="14">
        <f t="shared" si="617"/>
        <v>0</v>
      </c>
      <c r="L374" s="14">
        <f t="shared" si="617"/>
        <v>0</v>
      </c>
      <c r="M374" s="14">
        <f t="shared" si="617"/>
        <v>0</v>
      </c>
      <c r="N374" s="651">
        <f t="shared" si="617"/>
        <v>0</v>
      </c>
      <c r="O374" s="120">
        <f t="shared" si="617"/>
        <v>0</v>
      </c>
      <c r="P374" s="14">
        <f t="shared" si="617"/>
        <v>0</v>
      </c>
      <c r="Q374" s="14">
        <f t="shared" si="617"/>
        <v>0</v>
      </c>
      <c r="R374" s="14">
        <f t="shared" si="617"/>
        <v>0</v>
      </c>
      <c r="S374" s="14">
        <f t="shared" si="617"/>
        <v>0</v>
      </c>
      <c r="T374" s="14">
        <f t="shared" si="617"/>
        <v>0</v>
      </c>
      <c r="U374" s="14">
        <f t="shared" si="617"/>
        <v>0</v>
      </c>
      <c r="V374" s="14">
        <f t="shared" si="617"/>
        <v>0</v>
      </c>
      <c r="W374" s="14">
        <f t="shared" si="617"/>
        <v>0</v>
      </c>
      <c r="X374" s="14">
        <f t="shared" si="617"/>
        <v>0</v>
      </c>
      <c r="Y374" s="14">
        <f t="shared" si="617"/>
        <v>0</v>
      </c>
      <c r="Z374" s="14">
        <f t="shared" si="617"/>
        <v>0</v>
      </c>
      <c r="AA374" s="14">
        <f t="shared" si="617"/>
        <v>0</v>
      </c>
      <c r="AB374" s="14">
        <f t="shared" si="617"/>
        <v>0</v>
      </c>
      <c r="AC374" s="14">
        <f t="shared" si="617"/>
        <v>0</v>
      </c>
      <c r="AD374" s="644">
        <f t="shared" si="617"/>
        <v>0</v>
      </c>
      <c r="AE374" s="650">
        <f t="shared" si="617"/>
        <v>0</v>
      </c>
      <c r="AF374" s="11">
        <f t="shared" si="617"/>
        <v>0</v>
      </c>
      <c r="AG374" s="11">
        <f t="shared" si="617"/>
        <v>0</v>
      </c>
      <c r="AH374" s="11">
        <f t="shared" si="617"/>
        <v>0</v>
      </c>
      <c r="AI374" s="11">
        <f t="shared" si="617"/>
        <v>0</v>
      </c>
      <c r="AJ374" s="11">
        <f t="shared" si="617"/>
        <v>0</v>
      </c>
      <c r="AK374" s="651">
        <f t="shared" si="617"/>
        <v>0</v>
      </c>
      <c r="AL374" s="119">
        <f t="shared" si="617"/>
        <v>0</v>
      </c>
      <c r="AM374" s="14">
        <f t="shared" si="617"/>
        <v>0</v>
      </c>
      <c r="AN374" s="14">
        <f t="shared" si="617"/>
        <v>0</v>
      </c>
      <c r="AO374" s="14">
        <f t="shared" si="617"/>
        <v>0</v>
      </c>
      <c r="AP374" s="14">
        <f t="shared" si="617"/>
        <v>0</v>
      </c>
      <c r="AQ374" s="14">
        <f t="shared" si="617"/>
        <v>0</v>
      </c>
      <c r="AR374" s="651">
        <f t="shared" si="617"/>
        <v>0</v>
      </c>
    </row>
    <row r="375" spans="4:44" customFormat="1" ht="12.75" x14ac:dyDescent="0.2">
      <c r="D375" s="8"/>
      <c r="E375" s="4"/>
      <c r="F375" s="8"/>
      <c r="G375" s="17"/>
      <c r="H375" s="2">
        <v>3124</v>
      </c>
      <c r="I375" s="370">
        <f t="shared" ref="I375:AR375" si="618">SUMIF($F$12:$F$366,"=3124",I$12:I$366)</f>
        <v>0</v>
      </c>
      <c r="J375" s="14">
        <f t="shared" si="618"/>
        <v>0</v>
      </c>
      <c r="K375" s="14">
        <f t="shared" si="618"/>
        <v>0</v>
      </c>
      <c r="L375" s="14">
        <f t="shared" si="618"/>
        <v>0</v>
      </c>
      <c r="M375" s="14">
        <f t="shared" si="618"/>
        <v>0</v>
      </c>
      <c r="N375" s="651">
        <f t="shared" si="618"/>
        <v>0</v>
      </c>
      <c r="O375" s="120">
        <f t="shared" si="618"/>
        <v>0</v>
      </c>
      <c r="P375" s="14">
        <f t="shared" si="618"/>
        <v>0</v>
      </c>
      <c r="Q375" s="14">
        <f t="shared" si="618"/>
        <v>0</v>
      </c>
      <c r="R375" s="14">
        <f t="shared" si="618"/>
        <v>0</v>
      </c>
      <c r="S375" s="14">
        <f t="shared" si="618"/>
        <v>0</v>
      </c>
      <c r="T375" s="14">
        <f t="shared" si="618"/>
        <v>0</v>
      </c>
      <c r="U375" s="14">
        <f t="shared" si="618"/>
        <v>0</v>
      </c>
      <c r="V375" s="14">
        <f t="shared" si="618"/>
        <v>0</v>
      </c>
      <c r="W375" s="14">
        <f t="shared" si="618"/>
        <v>0</v>
      </c>
      <c r="X375" s="14">
        <f t="shared" si="618"/>
        <v>0</v>
      </c>
      <c r="Y375" s="14">
        <f t="shared" si="618"/>
        <v>0</v>
      </c>
      <c r="Z375" s="14">
        <f t="shared" si="618"/>
        <v>0</v>
      </c>
      <c r="AA375" s="14">
        <f t="shared" si="618"/>
        <v>0</v>
      </c>
      <c r="AB375" s="14">
        <f t="shared" si="618"/>
        <v>0</v>
      </c>
      <c r="AC375" s="14">
        <f t="shared" si="618"/>
        <v>0</v>
      </c>
      <c r="AD375" s="644">
        <f t="shared" si="618"/>
        <v>0</v>
      </c>
      <c r="AE375" s="650">
        <f t="shared" si="618"/>
        <v>0</v>
      </c>
      <c r="AF375" s="11">
        <f t="shared" si="618"/>
        <v>0</v>
      </c>
      <c r="AG375" s="11">
        <f t="shared" si="618"/>
        <v>0</v>
      </c>
      <c r="AH375" s="11">
        <f t="shared" si="618"/>
        <v>0</v>
      </c>
      <c r="AI375" s="11">
        <f t="shared" si="618"/>
        <v>0</v>
      </c>
      <c r="AJ375" s="11">
        <f t="shared" si="618"/>
        <v>0</v>
      </c>
      <c r="AK375" s="651">
        <f t="shared" si="618"/>
        <v>0</v>
      </c>
      <c r="AL375" s="119">
        <f t="shared" si="618"/>
        <v>0</v>
      </c>
      <c r="AM375" s="14">
        <f t="shared" si="618"/>
        <v>0</v>
      </c>
      <c r="AN375" s="14">
        <f t="shared" si="618"/>
        <v>0</v>
      </c>
      <c r="AO375" s="14">
        <f t="shared" si="618"/>
        <v>0</v>
      </c>
      <c r="AP375" s="14">
        <f t="shared" si="618"/>
        <v>0</v>
      </c>
      <c r="AQ375" s="14">
        <f t="shared" si="618"/>
        <v>0</v>
      </c>
      <c r="AR375" s="651">
        <f t="shared" si="618"/>
        <v>0</v>
      </c>
    </row>
    <row r="376" spans="4:44" customFormat="1" ht="12.75" x14ac:dyDescent="0.2">
      <c r="D376" s="8"/>
      <c r="E376" s="4"/>
      <c r="F376" s="8"/>
      <c r="G376" s="17"/>
      <c r="H376" s="2">
        <v>3141</v>
      </c>
      <c r="I376" s="370">
        <f t="shared" ref="I376:AR376" si="619">SUMIF($F$12:$F$366,"=3141",I$12:I$366)</f>
        <v>0</v>
      </c>
      <c r="J376" s="14">
        <f t="shared" si="619"/>
        <v>0</v>
      </c>
      <c r="K376" s="14">
        <f t="shared" si="619"/>
        <v>0</v>
      </c>
      <c r="L376" s="14">
        <f t="shared" si="619"/>
        <v>0</v>
      </c>
      <c r="M376" s="14">
        <f t="shared" si="619"/>
        <v>0</v>
      </c>
      <c r="N376" s="651">
        <f t="shared" si="619"/>
        <v>0</v>
      </c>
      <c r="O376" s="120">
        <f t="shared" si="619"/>
        <v>0</v>
      </c>
      <c r="P376" s="14">
        <f t="shared" si="619"/>
        <v>0</v>
      </c>
      <c r="Q376" s="14">
        <f t="shared" si="619"/>
        <v>0</v>
      </c>
      <c r="R376" s="14">
        <f t="shared" si="619"/>
        <v>0</v>
      </c>
      <c r="S376" s="14">
        <f t="shared" si="619"/>
        <v>0</v>
      </c>
      <c r="T376" s="14">
        <f t="shared" si="619"/>
        <v>0</v>
      </c>
      <c r="U376" s="14">
        <f t="shared" si="619"/>
        <v>0</v>
      </c>
      <c r="V376" s="14">
        <f t="shared" si="619"/>
        <v>0</v>
      </c>
      <c r="W376" s="14">
        <f t="shared" si="619"/>
        <v>0</v>
      </c>
      <c r="X376" s="14">
        <f t="shared" si="619"/>
        <v>0</v>
      </c>
      <c r="Y376" s="14">
        <f t="shared" si="619"/>
        <v>0</v>
      </c>
      <c r="Z376" s="14">
        <f t="shared" si="619"/>
        <v>0</v>
      </c>
      <c r="AA376" s="14">
        <f t="shared" si="619"/>
        <v>0</v>
      </c>
      <c r="AB376" s="14">
        <f t="shared" si="619"/>
        <v>0</v>
      </c>
      <c r="AC376" s="14">
        <f t="shared" si="619"/>
        <v>0</v>
      </c>
      <c r="AD376" s="644">
        <f t="shared" si="619"/>
        <v>0</v>
      </c>
      <c r="AE376" s="650">
        <f t="shared" si="619"/>
        <v>0</v>
      </c>
      <c r="AF376" s="11">
        <f t="shared" si="619"/>
        <v>0</v>
      </c>
      <c r="AG376" s="11">
        <f t="shared" si="619"/>
        <v>0</v>
      </c>
      <c r="AH376" s="11">
        <f t="shared" si="619"/>
        <v>0</v>
      </c>
      <c r="AI376" s="11">
        <f t="shared" si="619"/>
        <v>0</v>
      </c>
      <c r="AJ376" s="11">
        <f t="shared" si="619"/>
        <v>0</v>
      </c>
      <c r="AK376" s="651">
        <f t="shared" si="619"/>
        <v>0</v>
      </c>
      <c r="AL376" s="119">
        <f t="shared" si="619"/>
        <v>0</v>
      </c>
      <c r="AM376" s="14">
        <f t="shared" si="619"/>
        <v>0</v>
      </c>
      <c r="AN376" s="14">
        <f t="shared" si="619"/>
        <v>0</v>
      </c>
      <c r="AO376" s="14">
        <f t="shared" si="619"/>
        <v>0</v>
      </c>
      <c r="AP376" s="14">
        <f t="shared" si="619"/>
        <v>0</v>
      </c>
      <c r="AQ376" s="14">
        <f t="shared" si="619"/>
        <v>0</v>
      </c>
      <c r="AR376" s="651">
        <f t="shared" si="619"/>
        <v>0</v>
      </c>
    </row>
    <row r="377" spans="4:44" customFormat="1" ht="12.75" x14ac:dyDescent="0.2">
      <c r="D377" s="8"/>
      <c r="E377" s="4"/>
      <c r="F377" s="8"/>
      <c r="G377" s="17"/>
      <c r="H377" s="2">
        <v>3143</v>
      </c>
      <c r="I377" s="370">
        <f t="shared" ref="I377:AR377" si="620">SUMIF($F$12:$F$366,"=3143",I$12:I$366)</f>
        <v>122563151</v>
      </c>
      <c r="J377" s="14">
        <f t="shared" si="620"/>
        <v>90922216</v>
      </c>
      <c r="K377" s="14">
        <f t="shared" si="620"/>
        <v>30731712</v>
      </c>
      <c r="L377" s="14">
        <f t="shared" si="620"/>
        <v>909223</v>
      </c>
      <c r="M377" s="14">
        <f t="shared" si="620"/>
        <v>0</v>
      </c>
      <c r="N377" s="651">
        <f t="shared" si="620"/>
        <v>170.91800000000001</v>
      </c>
      <c r="O377" s="120">
        <f t="shared" si="620"/>
        <v>-254000</v>
      </c>
      <c r="P377" s="14">
        <f t="shared" si="620"/>
        <v>0</v>
      </c>
      <c r="Q377" s="14">
        <f t="shared" si="620"/>
        <v>0</v>
      </c>
      <c r="R377" s="14">
        <f t="shared" si="620"/>
        <v>0</v>
      </c>
      <c r="S377" s="14">
        <f t="shared" si="620"/>
        <v>0</v>
      </c>
      <c r="T377" s="14">
        <f t="shared" si="620"/>
        <v>0</v>
      </c>
      <c r="U377" s="14">
        <f t="shared" si="620"/>
        <v>-254000</v>
      </c>
      <c r="V377" s="14">
        <f t="shared" si="620"/>
        <v>254000</v>
      </c>
      <c r="W377" s="14">
        <f t="shared" si="620"/>
        <v>0</v>
      </c>
      <c r="X377" s="14">
        <f t="shared" si="620"/>
        <v>0</v>
      </c>
      <c r="Y377" s="14">
        <f t="shared" si="620"/>
        <v>254000</v>
      </c>
      <c r="Z377" s="14">
        <f t="shared" si="620"/>
        <v>0</v>
      </c>
      <c r="AA377" s="14">
        <f t="shared" si="620"/>
        <v>0</v>
      </c>
      <c r="AB377" s="14">
        <f t="shared" si="620"/>
        <v>-2540</v>
      </c>
      <c r="AC377" s="14">
        <f t="shared" si="620"/>
        <v>0</v>
      </c>
      <c r="AD377" s="644">
        <f t="shared" si="620"/>
        <v>-2540</v>
      </c>
      <c r="AE377" s="650">
        <f t="shared" si="620"/>
        <v>-0.21000000000000002</v>
      </c>
      <c r="AF377" s="11">
        <f t="shared" si="620"/>
        <v>0</v>
      </c>
      <c r="AG377" s="11">
        <f t="shared" si="620"/>
        <v>0</v>
      </c>
      <c r="AH377" s="11">
        <f t="shared" si="620"/>
        <v>0</v>
      </c>
      <c r="AI377" s="11">
        <f t="shared" si="620"/>
        <v>0</v>
      </c>
      <c r="AJ377" s="11">
        <f t="shared" si="620"/>
        <v>0</v>
      </c>
      <c r="AK377" s="651">
        <f t="shared" si="620"/>
        <v>-0.21000000000000002</v>
      </c>
      <c r="AL377" s="119">
        <f t="shared" si="620"/>
        <v>122560611</v>
      </c>
      <c r="AM377" s="14">
        <f t="shared" si="620"/>
        <v>90668216</v>
      </c>
      <c r="AN377" s="14">
        <f t="shared" si="620"/>
        <v>254000</v>
      </c>
      <c r="AO377" s="14">
        <f t="shared" si="620"/>
        <v>30731712</v>
      </c>
      <c r="AP377" s="14">
        <f t="shared" si="620"/>
        <v>906683</v>
      </c>
      <c r="AQ377" s="14">
        <f t="shared" si="620"/>
        <v>0</v>
      </c>
      <c r="AR377" s="651">
        <f t="shared" si="620"/>
        <v>170.70800000000003</v>
      </c>
    </row>
    <row r="378" spans="4:44" customFormat="1" ht="12.75" x14ac:dyDescent="0.2">
      <c r="D378" s="8"/>
      <c r="E378" s="4"/>
      <c r="F378" s="8"/>
      <c r="G378" s="17"/>
      <c r="H378" s="2">
        <v>3231</v>
      </c>
      <c r="I378" s="370">
        <f t="shared" ref="I378:AR378" si="621">SUMIF($F$12:$F$366,"=3231",I$12:I$366)</f>
        <v>92933540</v>
      </c>
      <c r="J378" s="14">
        <f t="shared" si="621"/>
        <v>68941796</v>
      </c>
      <c r="K378" s="14">
        <f t="shared" si="621"/>
        <v>23302327</v>
      </c>
      <c r="L378" s="14">
        <f t="shared" si="621"/>
        <v>689417</v>
      </c>
      <c r="M378" s="14">
        <f t="shared" si="621"/>
        <v>0</v>
      </c>
      <c r="N378" s="651">
        <f t="shared" si="621"/>
        <v>103.37689999999998</v>
      </c>
      <c r="O378" s="120">
        <f t="shared" si="621"/>
        <v>-120000</v>
      </c>
      <c r="P378" s="14">
        <f t="shared" si="621"/>
        <v>0</v>
      </c>
      <c r="Q378" s="14">
        <f t="shared" si="621"/>
        <v>0</v>
      </c>
      <c r="R378" s="14">
        <f t="shared" si="621"/>
        <v>0</v>
      </c>
      <c r="S378" s="14">
        <f t="shared" si="621"/>
        <v>0</v>
      </c>
      <c r="T378" s="14">
        <f t="shared" si="621"/>
        <v>0</v>
      </c>
      <c r="U378" s="14">
        <f t="shared" si="621"/>
        <v>-120000</v>
      </c>
      <c r="V378" s="14">
        <f t="shared" si="621"/>
        <v>120000</v>
      </c>
      <c r="W378" s="14">
        <f t="shared" si="621"/>
        <v>0</v>
      </c>
      <c r="X378" s="14">
        <f t="shared" si="621"/>
        <v>0</v>
      </c>
      <c r="Y378" s="14">
        <f t="shared" si="621"/>
        <v>120000</v>
      </c>
      <c r="Z378" s="14">
        <f t="shared" si="621"/>
        <v>0</v>
      </c>
      <c r="AA378" s="14">
        <f t="shared" si="621"/>
        <v>0</v>
      </c>
      <c r="AB378" s="14">
        <f t="shared" si="621"/>
        <v>-1200</v>
      </c>
      <c r="AC378" s="14">
        <f t="shared" si="621"/>
        <v>0</v>
      </c>
      <c r="AD378" s="644">
        <f t="shared" si="621"/>
        <v>-1200</v>
      </c>
      <c r="AE378" s="650">
        <f t="shared" si="621"/>
        <v>-0.16</v>
      </c>
      <c r="AF378" s="11">
        <f t="shared" si="621"/>
        <v>0</v>
      </c>
      <c r="AG378" s="11">
        <f t="shared" si="621"/>
        <v>0</v>
      </c>
      <c r="AH378" s="11">
        <f t="shared" si="621"/>
        <v>0</v>
      </c>
      <c r="AI378" s="11">
        <f t="shared" si="621"/>
        <v>0</v>
      </c>
      <c r="AJ378" s="11">
        <f t="shared" si="621"/>
        <v>0</v>
      </c>
      <c r="AK378" s="651">
        <f t="shared" si="621"/>
        <v>-0.16</v>
      </c>
      <c r="AL378" s="119">
        <f t="shared" si="621"/>
        <v>92932340</v>
      </c>
      <c r="AM378" s="14">
        <f t="shared" si="621"/>
        <v>68821796</v>
      </c>
      <c r="AN378" s="14">
        <f t="shared" si="621"/>
        <v>120000</v>
      </c>
      <c r="AO378" s="14">
        <f t="shared" si="621"/>
        <v>23302327</v>
      </c>
      <c r="AP378" s="14">
        <f t="shared" si="621"/>
        <v>688217</v>
      </c>
      <c r="AQ378" s="14">
        <f t="shared" si="621"/>
        <v>0</v>
      </c>
      <c r="AR378" s="651">
        <f t="shared" si="621"/>
        <v>103.21689999999998</v>
      </c>
    </row>
    <row r="379" spans="4:44" customFormat="1" ht="13.5" thickBot="1" x14ac:dyDescent="0.25">
      <c r="D379" s="8"/>
      <c r="E379" s="4"/>
      <c r="F379" s="8"/>
      <c r="G379" s="17"/>
      <c r="H379" s="103">
        <v>3233</v>
      </c>
      <c r="I379" s="867">
        <f t="shared" ref="I379:AR379" si="622">SUMIF($F$12:$F$366,"=3233",I$12:I$366)</f>
        <v>10183741</v>
      </c>
      <c r="J379" s="123">
        <f t="shared" si="622"/>
        <v>7554704</v>
      </c>
      <c r="K379" s="123">
        <f t="shared" si="622"/>
        <v>2553490</v>
      </c>
      <c r="L379" s="123">
        <f t="shared" si="622"/>
        <v>75547</v>
      </c>
      <c r="M379" s="123">
        <f t="shared" si="622"/>
        <v>0</v>
      </c>
      <c r="N379" s="653">
        <f t="shared" si="622"/>
        <v>12.78</v>
      </c>
      <c r="O379" s="125">
        <f t="shared" si="622"/>
        <v>-800000</v>
      </c>
      <c r="P379" s="123">
        <f t="shared" si="622"/>
        <v>0</v>
      </c>
      <c r="Q379" s="123">
        <f t="shared" si="622"/>
        <v>0</v>
      </c>
      <c r="R379" s="123">
        <f t="shared" si="622"/>
        <v>0</v>
      </c>
      <c r="S379" s="123">
        <f t="shared" si="622"/>
        <v>0</v>
      </c>
      <c r="T379" s="123">
        <f t="shared" si="622"/>
        <v>0</v>
      </c>
      <c r="U379" s="123">
        <f t="shared" si="622"/>
        <v>-800000</v>
      </c>
      <c r="V379" s="123">
        <f t="shared" si="622"/>
        <v>800000</v>
      </c>
      <c r="W379" s="123">
        <f t="shared" si="622"/>
        <v>0</v>
      </c>
      <c r="X379" s="123">
        <f t="shared" si="622"/>
        <v>0</v>
      </c>
      <c r="Y379" s="123">
        <f t="shared" si="622"/>
        <v>800000</v>
      </c>
      <c r="Z379" s="123">
        <f t="shared" si="622"/>
        <v>0</v>
      </c>
      <c r="AA379" s="123">
        <f t="shared" si="622"/>
        <v>0</v>
      </c>
      <c r="AB379" s="123">
        <f t="shared" si="622"/>
        <v>-8000</v>
      </c>
      <c r="AC379" s="123">
        <f t="shared" si="622"/>
        <v>0</v>
      </c>
      <c r="AD379" s="645">
        <f t="shared" si="622"/>
        <v>-8000</v>
      </c>
      <c r="AE379" s="652">
        <f t="shared" si="622"/>
        <v>-1.3699999999999999</v>
      </c>
      <c r="AF379" s="124">
        <f t="shared" si="622"/>
        <v>0</v>
      </c>
      <c r="AG379" s="124">
        <f t="shared" si="622"/>
        <v>0</v>
      </c>
      <c r="AH379" s="124">
        <f t="shared" si="622"/>
        <v>0</v>
      </c>
      <c r="AI379" s="124">
        <f t="shared" si="622"/>
        <v>0</v>
      </c>
      <c r="AJ379" s="124">
        <f t="shared" si="622"/>
        <v>0</v>
      </c>
      <c r="AK379" s="653">
        <f t="shared" si="622"/>
        <v>-1.3699999999999999</v>
      </c>
      <c r="AL379" s="122">
        <f t="shared" si="622"/>
        <v>10175741</v>
      </c>
      <c r="AM379" s="123">
        <f t="shared" si="622"/>
        <v>6754704</v>
      </c>
      <c r="AN379" s="123">
        <f t="shared" si="622"/>
        <v>800000</v>
      </c>
      <c r="AO379" s="123">
        <f t="shared" si="622"/>
        <v>2553490</v>
      </c>
      <c r="AP379" s="123">
        <f t="shared" si="622"/>
        <v>67547</v>
      </c>
      <c r="AQ379" s="123">
        <f t="shared" si="622"/>
        <v>0</v>
      </c>
      <c r="AR379" s="653">
        <f t="shared" si="622"/>
        <v>11.41</v>
      </c>
    </row>
    <row r="381" spans="4:44" x14ac:dyDescent="0.2">
      <c r="I381" s="883"/>
      <c r="J381" s="474"/>
      <c r="K381" s="474"/>
      <c r="L381" s="474"/>
      <c r="M381" s="474"/>
      <c r="N381" s="476"/>
    </row>
    <row r="382" spans="4:44" x14ac:dyDescent="0.2">
      <c r="I382" s="883"/>
      <c r="J382" s="883"/>
      <c r="K382" s="883"/>
      <c r="L382" s="883"/>
      <c r="M382" s="474"/>
      <c r="N382" s="476"/>
    </row>
    <row r="383" spans="4:44" x14ac:dyDescent="0.2">
      <c r="I383" s="474"/>
      <c r="J383" s="474"/>
      <c r="K383" s="474"/>
      <c r="L383" s="474"/>
      <c r="M383" s="474"/>
      <c r="N383" s="476"/>
    </row>
    <row r="429" spans="5:15" x14ac:dyDescent="0.2">
      <c r="E429" s="475"/>
      <c r="F429" s="475"/>
      <c r="G429" s="475"/>
      <c r="H429" s="475"/>
      <c r="J429" s="475"/>
      <c r="K429" s="475"/>
      <c r="L429" s="475"/>
      <c r="M429" s="475"/>
      <c r="N429" s="709"/>
      <c r="O429" s="475"/>
    </row>
    <row r="430" spans="5:15" x14ac:dyDescent="0.2">
      <c r="E430" s="475"/>
      <c r="F430" s="475"/>
      <c r="G430" s="475"/>
      <c r="H430" s="475"/>
      <c r="J430" s="475"/>
      <c r="K430" s="475"/>
      <c r="L430" s="475"/>
      <c r="M430" s="475"/>
      <c r="N430" s="709"/>
      <c r="O430" s="475"/>
    </row>
    <row r="431" spans="5:15" x14ac:dyDescent="0.2">
      <c r="E431" s="475"/>
      <c r="F431" s="475"/>
      <c r="G431" s="475"/>
      <c r="H431" s="475"/>
      <c r="J431" s="475"/>
      <c r="K431" s="475"/>
      <c r="L431" s="475"/>
      <c r="M431" s="475"/>
      <c r="N431" s="709"/>
      <c r="O431" s="475"/>
    </row>
    <row r="432" spans="5:15" x14ac:dyDescent="0.2">
      <c r="E432" s="475"/>
      <c r="F432" s="475"/>
      <c r="G432" s="475"/>
      <c r="H432" s="475"/>
      <c r="J432" s="475"/>
      <c r="K432" s="475"/>
      <c r="L432" s="475"/>
      <c r="M432" s="475"/>
      <c r="N432" s="709"/>
      <c r="O432" s="475"/>
    </row>
    <row r="433" spans="5:17" x14ac:dyDescent="0.2">
      <c r="E433" s="475"/>
      <c r="F433" s="475"/>
      <c r="G433" s="475"/>
      <c r="H433" s="475"/>
      <c r="J433" s="475"/>
      <c r="K433" s="475"/>
      <c r="L433" s="475"/>
      <c r="M433" s="475"/>
      <c r="N433" s="709"/>
      <c r="O433" s="475"/>
    </row>
    <row r="434" spans="5:17" x14ac:dyDescent="0.2">
      <c r="E434" s="475"/>
      <c r="F434" s="475"/>
      <c r="G434" s="475"/>
      <c r="H434" s="475"/>
      <c r="J434" s="475"/>
      <c r="K434" s="475"/>
      <c r="L434" s="475"/>
      <c r="M434" s="475"/>
      <c r="N434" s="709"/>
      <c r="O434" s="475"/>
    </row>
    <row r="435" spans="5:17" x14ac:dyDescent="0.2">
      <c r="E435" s="475"/>
      <c r="F435" s="475"/>
      <c r="G435" s="475"/>
      <c r="H435" s="475"/>
      <c r="J435" s="475"/>
      <c r="K435" s="475"/>
      <c r="L435" s="475"/>
      <c r="M435" s="475"/>
      <c r="N435" s="709"/>
      <c r="O435" s="475"/>
    </row>
    <row r="436" spans="5:17" x14ac:dyDescent="0.2">
      <c r="E436" s="475"/>
      <c r="F436" s="475"/>
      <c r="G436" s="475"/>
      <c r="H436" s="475"/>
      <c r="J436" s="475"/>
      <c r="K436" s="475"/>
      <c r="L436" s="475"/>
      <c r="M436" s="475"/>
      <c r="N436" s="709"/>
      <c r="O436" s="475"/>
    </row>
    <row r="437" spans="5:17" x14ac:dyDescent="0.2">
      <c r="E437" s="475"/>
      <c r="F437" s="475"/>
      <c r="G437" s="475"/>
      <c r="H437" s="475"/>
      <c r="J437" s="475"/>
      <c r="K437" s="475"/>
      <c r="L437" s="475"/>
      <c r="M437" s="475"/>
      <c r="N437" s="709"/>
      <c r="O437" s="475"/>
    </row>
    <row r="438" spans="5:17" x14ac:dyDescent="0.2">
      <c r="E438" s="475"/>
      <c r="F438" s="475"/>
      <c r="G438" s="475"/>
      <c r="H438" s="475"/>
      <c r="J438" s="475"/>
      <c r="K438" s="475"/>
      <c r="L438" s="475"/>
      <c r="M438" s="475"/>
      <c r="N438" s="709"/>
      <c r="O438" s="475"/>
    </row>
    <row r="439" spans="5:17" x14ac:dyDescent="0.2">
      <c r="E439" s="475"/>
      <c r="F439" s="475"/>
      <c r="G439" s="475"/>
      <c r="H439" s="475"/>
      <c r="J439" s="475"/>
      <c r="K439" s="475"/>
      <c r="L439" s="475"/>
      <c r="M439" s="475"/>
      <c r="N439" s="709"/>
      <c r="O439" s="475"/>
    </row>
    <row r="440" spans="5:17" x14ac:dyDescent="0.2">
      <c r="E440" s="475"/>
      <c r="F440" s="475"/>
      <c r="G440" s="475"/>
      <c r="H440" s="475"/>
      <c r="J440" s="475"/>
      <c r="K440" s="475"/>
      <c r="L440" s="475"/>
      <c r="M440" s="475"/>
      <c r="N440" s="709"/>
      <c r="O440" s="475"/>
    </row>
    <row r="441" spans="5:17" x14ac:dyDescent="0.2">
      <c r="E441" s="475"/>
      <c r="F441" s="475"/>
      <c r="G441" s="475"/>
      <c r="H441" s="475"/>
      <c r="J441" s="475"/>
      <c r="K441" s="475"/>
      <c r="L441" s="475"/>
      <c r="M441" s="475"/>
      <c r="N441" s="709"/>
      <c r="O441" s="475"/>
    </row>
    <row r="442" spans="5:17" x14ac:dyDescent="0.2">
      <c r="E442" s="475"/>
      <c r="F442" s="475"/>
      <c r="G442" s="475"/>
      <c r="H442" s="475"/>
      <c r="J442" s="475"/>
      <c r="K442" s="475"/>
      <c r="L442" s="475"/>
      <c r="M442" s="475"/>
      <c r="N442" s="709"/>
      <c r="O442" s="475"/>
    </row>
    <row r="443" spans="5:17" x14ac:dyDescent="0.2">
      <c r="E443" s="475"/>
      <c r="F443" s="475"/>
      <c r="G443" s="475"/>
      <c r="H443" s="475"/>
      <c r="J443" s="475"/>
      <c r="K443" s="475"/>
      <c r="L443" s="475"/>
      <c r="M443" s="475"/>
      <c r="N443" s="709"/>
      <c r="O443" s="475"/>
    </row>
    <row r="444" spans="5:17" x14ac:dyDescent="0.2">
      <c r="E444" s="475"/>
      <c r="F444" s="475"/>
      <c r="G444" s="475"/>
      <c r="H444" s="475"/>
      <c r="J444" s="475"/>
      <c r="K444" s="475"/>
      <c r="L444" s="475"/>
      <c r="M444" s="475"/>
      <c r="N444" s="709"/>
      <c r="O444" s="475"/>
    </row>
    <row r="446" spans="5:17" x14ac:dyDescent="0.2">
      <c r="E446" s="475"/>
      <c r="F446" s="475"/>
      <c r="G446" s="475"/>
      <c r="H446" s="475"/>
      <c r="J446" s="475"/>
      <c r="K446" s="475"/>
      <c r="L446" s="475"/>
      <c r="M446" s="475"/>
      <c r="N446" s="709"/>
      <c r="O446" s="475"/>
      <c r="P446" s="475"/>
      <c r="Q446" s="475"/>
    </row>
    <row r="447" spans="5:17" x14ac:dyDescent="0.2">
      <c r="E447" s="475"/>
      <c r="F447" s="475"/>
      <c r="G447" s="475"/>
      <c r="H447" s="475"/>
      <c r="J447" s="475"/>
      <c r="K447" s="475"/>
      <c r="L447" s="475"/>
      <c r="M447" s="475"/>
      <c r="N447" s="709"/>
      <c r="O447" s="475"/>
      <c r="P447" s="475"/>
      <c r="Q447" s="475"/>
    </row>
    <row r="448" spans="5:17" x14ac:dyDescent="0.2">
      <c r="E448" s="475"/>
      <c r="F448" s="475"/>
      <c r="G448" s="475"/>
      <c r="H448" s="475"/>
      <c r="J448" s="475"/>
      <c r="K448" s="475"/>
      <c r="L448" s="475"/>
      <c r="M448" s="475"/>
      <c r="N448" s="709"/>
      <c r="O448" s="475"/>
      <c r="P448" s="475"/>
      <c r="Q448" s="475"/>
    </row>
    <row r="449" spans="5:17" x14ac:dyDescent="0.2">
      <c r="E449" s="475"/>
      <c r="F449" s="475"/>
      <c r="G449" s="475"/>
      <c r="H449" s="475"/>
      <c r="J449" s="475"/>
      <c r="K449" s="475"/>
      <c r="L449" s="475"/>
      <c r="M449" s="475"/>
      <c r="N449" s="709"/>
      <c r="O449" s="475"/>
      <c r="P449" s="475"/>
      <c r="Q449" s="475"/>
    </row>
    <row r="450" spans="5:17" x14ac:dyDescent="0.2">
      <c r="E450" s="475"/>
      <c r="F450" s="475"/>
      <c r="G450" s="475"/>
      <c r="H450" s="475"/>
      <c r="J450" s="475"/>
      <c r="K450" s="475"/>
      <c r="L450" s="475"/>
      <c r="M450" s="475"/>
      <c r="N450" s="709"/>
      <c r="O450" s="475"/>
      <c r="P450" s="475"/>
      <c r="Q450" s="475"/>
    </row>
    <row r="451" spans="5:17" x14ac:dyDescent="0.2">
      <c r="E451" s="475"/>
      <c r="F451" s="475"/>
      <c r="G451" s="475"/>
      <c r="H451" s="475"/>
      <c r="J451" s="475"/>
      <c r="K451" s="475"/>
      <c r="L451" s="475"/>
      <c r="M451" s="475"/>
      <c r="N451" s="709"/>
      <c r="O451" s="475"/>
      <c r="P451" s="475"/>
      <c r="Q451" s="475"/>
    </row>
    <row r="452" spans="5:17" x14ac:dyDescent="0.2">
      <c r="E452" s="475"/>
      <c r="F452" s="475"/>
      <c r="G452" s="475"/>
      <c r="H452" s="475"/>
      <c r="J452" s="475"/>
      <c r="K452" s="475"/>
      <c r="L452" s="475"/>
      <c r="M452" s="475"/>
      <c r="N452" s="709"/>
      <c r="O452" s="475"/>
      <c r="P452" s="475"/>
      <c r="Q452" s="475"/>
    </row>
    <row r="453" spans="5:17" x14ac:dyDescent="0.2">
      <c r="E453" s="475"/>
      <c r="F453" s="475"/>
      <c r="G453" s="475"/>
      <c r="H453" s="475"/>
      <c r="J453" s="475"/>
      <c r="K453" s="475"/>
      <c r="L453" s="475"/>
      <c r="M453" s="475"/>
      <c r="N453" s="709"/>
      <c r="O453" s="475"/>
      <c r="P453" s="475"/>
      <c r="Q453" s="475"/>
    </row>
    <row r="454" spans="5:17" x14ac:dyDescent="0.2">
      <c r="E454" s="475"/>
      <c r="F454" s="475"/>
      <c r="G454" s="475"/>
      <c r="H454" s="475"/>
      <c r="J454" s="475"/>
      <c r="K454" s="475"/>
      <c r="L454" s="475"/>
      <c r="M454" s="475"/>
      <c r="N454" s="709"/>
      <c r="O454" s="475"/>
      <c r="P454" s="475"/>
      <c r="Q454" s="475"/>
    </row>
    <row r="455" spans="5:17" x14ac:dyDescent="0.2">
      <c r="E455" s="475"/>
      <c r="F455" s="475"/>
      <c r="G455" s="475"/>
      <c r="H455" s="475"/>
      <c r="J455" s="475"/>
      <c r="K455" s="475"/>
      <c r="L455" s="475"/>
      <c r="M455" s="475"/>
      <c r="N455" s="709"/>
      <c r="O455" s="475"/>
      <c r="P455" s="475"/>
      <c r="Q455" s="475"/>
    </row>
    <row r="456" spans="5:17" x14ac:dyDescent="0.2">
      <c r="E456" s="475"/>
      <c r="F456" s="475"/>
      <c r="G456" s="475"/>
      <c r="H456" s="475"/>
      <c r="J456" s="475"/>
      <c r="K456" s="475"/>
      <c r="L456" s="475"/>
      <c r="M456" s="475"/>
      <c r="N456" s="709"/>
      <c r="O456" s="475"/>
      <c r="P456" s="475"/>
      <c r="Q456" s="475"/>
    </row>
    <row r="457" spans="5:17" x14ac:dyDescent="0.2">
      <c r="E457" s="475"/>
      <c r="F457" s="475"/>
      <c r="G457" s="475"/>
      <c r="H457" s="475"/>
      <c r="J457" s="475"/>
      <c r="K457" s="475"/>
      <c r="L457" s="475"/>
      <c r="M457" s="475"/>
      <c r="N457" s="709"/>
      <c r="O457" s="475"/>
      <c r="P457" s="475"/>
      <c r="Q457" s="475"/>
    </row>
    <row r="458" spans="5:17" x14ac:dyDescent="0.2">
      <c r="E458" s="475"/>
      <c r="F458" s="475"/>
      <c r="G458" s="475"/>
      <c r="H458" s="475"/>
      <c r="J458" s="475"/>
      <c r="K458" s="475"/>
      <c r="L458" s="475"/>
      <c r="M458" s="475"/>
      <c r="N458" s="709"/>
      <c r="O458" s="475"/>
      <c r="P458" s="475"/>
      <c r="Q458" s="475"/>
    </row>
    <row r="459" spans="5:17" x14ac:dyDescent="0.2">
      <c r="E459" s="475"/>
      <c r="F459" s="475"/>
      <c r="G459" s="475"/>
      <c r="H459" s="475"/>
      <c r="J459" s="475"/>
      <c r="K459" s="475"/>
      <c r="L459" s="475"/>
      <c r="M459" s="475"/>
      <c r="N459" s="709"/>
      <c r="O459" s="475"/>
      <c r="P459" s="475"/>
      <c r="Q459" s="475"/>
    </row>
    <row r="460" spans="5:17" x14ac:dyDescent="0.2">
      <c r="E460" s="475"/>
      <c r="F460" s="475"/>
      <c r="G460" s="475"/>
      <c r="H460" s="475"/>
      <c r="J460" s="475"/>
      <c r="K460" s="475"/>
      <c r="L460" s="475"/>
      <c r="M460" s="475"/>
      <c r="N460" s="709"/>
      <c r="O460" s="475"/>
      <c r="P460" s="475"/>
      <c r="Q460" s="475"/>
    </row>
    <row r="461" spans="5:17" x14ac:dyDescent="0.2">
      <c r="E461" s="475"/>
      <c r="F461" s="475"/>
      <c r="G461" s="475"/>
      <c r="H461" s="475"/>
      <c r="J461" s="475"/>
      <c r="K461" s="475"/>
      <c r="L461" s="475"/>
      <c r="M461" s="475"/>
      <c r="N461" s="709"/>
      <c r="O461" s="475"/>
      <c r="P461" s="475"/>
      <c r="Q461" s="475"/>
    </row>
    <row r="462" spans="5:17" x14ac:dyDescent="0.2">
      <c r="E462" s="475"/>
      <c r="F462" s="475"/>
      <c r="G462" s="475"/>
      <c r="H462" s="475"/>
      <c r="J462" s="475"/>
      <c r="K462" s="475"/>
      <c r="L462" s="475"/>
      <c r="M462" s="475"/>
      <c r="N462" s="709"/>
      <c r="O462" s="475"/>
      <c r="P462" s="475"/>
      <c r="Q462" s="475"/>
    </row>
    <row r="463" spans="5:17" x14ac:dyDescent="0.2">
      <c r="E463" s="475"/>
      <c r="F463" s="475"/>
      <c r="G463" s="475"/>
      <c r="H463" s="475"/>
      <c r="J463" s="475"/>
      <c r="K463" s="475"/>
      <c r="L463" s="475"/>
      <c r="M463" s="475"/>
      <c r="N463" s="709"/>
      <c r="O463" s="475"/>
      <c r="P463" s="475"/>
      <c r="Q463" s="475"/>
    </row>
    <row r="464" spans="5:17" x14ac:dyDescent="0.2">
      <c r="E464" s="475"/>
      <c r="F464" s="475"/>
      <c r="G464" s="475"/>
      <c r="H464" s="475"/>
      <c r="J464" s="475"/>
      <c r="K464" s="475"/>
      <c r="L464" s="475"/>
      <c r="M464" s="475"/>
      <c r="N464" s="709"/>
      <c r="O464" s="475"/>
      <c r="P464" s="475"/>
      <c r="Q464" s="475"/>
    </row>
    <row r="465" spans="5:17" x14ac:dyDescent="0.2">
      <c r="E465" s="475"/>
      <c r="F465" s="475"/>
      <c r="G465" s="475"/>
      <c r="H465" s="475"/>
      <c r="J465" s="475"/>
      <c r="K465" s="475"/>
      <c r="L465" s="475"/>
      <c r="M465" s="475"/>
      <c r="N465" s="709"/>
      <c r="O465" s="475"/>
      <c r="P465" s="475"/>
      <c r="Q465" s="475"/>
    </row>
  </sheetData>
  <mergeCells count="44">
    <mergeCell ref="U9:U10"/>
    <mergeCell ref="AD7:AD10"/>
    <mergeCell ref="AE7:AK7"/>
    <mergeCell ref="O7:U8"/>
    <mergeCell ref="Y9:Y10"/>
    <mergeCell ref="V7:Y8"/>
    <mergeCell ref="AE8:AE10"/>
    <mergeCell ref="AA7:AA10"/>
    <mergeCell ref="R9:R10"/>
    <mergeCell ref="T9:T10"/>
    <mergeCell ref="S9:S10"/>
    <mergeCell ref="P9:P10"/>
    <mergeCell ref="M9:M10"/>
    <mergeCell ref="AB7:AB10"/>
    <mergeCell ref="AG8:AG10"/>
    <mergeCell ref="AF8:AF10"/>
    <mergeCell ref="I6:N7"/>
    <mergeCell ref="O6:AK6"/>
    <mergeCell ref="J8:L8"/>
    <mergeCell ref="I8:I10"/>
    <mergeCell ref="Q9:Q10"/>
    <mergeCell ref="AK8:AK10"/>
    <mergeCell ref="J9:J10"/>
    <mergeCell ref="K9:K10"/>
    <mergeCell ref="Z7:Z10"/>
    <mergeCell ref="V9:V10"/>
    <mergeCell ref="AC7:AC10"/>
    <mergeCell ref="AH8:AH10"/>
    <mergeCell ref="L9:L10"/>
    <mergeCell ref="W9:W10"/>
    <mergeCell ref="O9:O10"/>
    <mergeCell ref="AL6:AR7"/>
    <mergeCell ref="AR8:AR10"/>
    <mergeCell ref="AM9:AM10"/>
    <mergeCell ref="AN9:AN10"/>
    <mergeCell ref="AM8:AP8"/>
    <mergeCell ref="AO9:AO10"/>
    <mergeCell ref="AP9:AP10"/>
    <mergeCell ref="AL8:AL10"/>
    <mergeCell ref="AQ9:AQ10"/>
    <mergeCell ref="AI8:AI10"/>
    <mergeCell ref="AJ8:AJ10"/>
    <mergeCell ref="X9:X10"/>
    <mergeCell ref="N8:N10"/>
  </mergeCells>
  <printOptions horizontalCentered="1"/>
  <pageMargins left="0.19685039370078741" right="0.19685039370078741" top="0.78740157480314965" bottom="0.78740157480314965" header="0.31496062992125984" footer="0.31496062992125984"/>
  <pageSetup paperSize="8" scale="85" fitToWidth="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R154"/>
  <sheetViews>
    <sheetView zoomScaleNormal="100" workbookViewId="0">
      <pane xSplit="8" ySplit="11" topLeftCell="AA12" activePane="bottomRight" state="frozen"/>
      <selection activeCell="AL6" sqref="AL6:AR7"/>
      <selection pane="topRight" activeCell="AL6" sqref="AL6:AR7"/>
      <selection pane="bottomLeft" activeCell="AL6" sqref="AL6:AR7"/>
      <selection pane="bottomRight" activeCell="I6" sqref="I6:AR10"/>
    </sheetView>
  </sheetViews>
  <sheetFormatPr defaultColWidth="9.140625" defaultRowHeight="15" x14ac:dyDescent="0.25"/>
  <cols>
    <col min="1" max="1" width="5" style="61" customWidth="1"/>
    <col min="2" max="2" width="4.7109375" style="60" bestFit="1" customWidth="1"/>
    <col min="3" max="3" width="8.7109375" style="60" customWidth="1"/>
    <col min="4" max="4" width="7.85546875" style="60" customWidth="1"/>
    <col min="5" max="5" width="30.85546875" style="61" customWidth="1"/>
    <col min="6" max="6" width="4.42578125" style="61" customWidth="1"/>
    <col min="7" max="7" width="10.28515625" style="61" customWidth="1"/>
    <col min="8" max="8" width="8" style="61" customWidth="1"/>
    <col min="9" max="9" width="12" style="167" customWidth="1"/>
    <col min="10" max="10" width="11.28515625" style="167" customWidth="1"/>
    <col min="11" max="11" width="13.5703125" style="167" customWidth="1"/>
    <col min="12" max="13" width="12.28515625" style="167" customWidth="1"/>
    <col min="14" max="14" width="8.7109375" style="168" customWidth="1"/>
    <col min="15" max="17" width="10.85546875" style="49" customWidth="1"/>
    <col min="18" max="18" width="10.5703125" style="49" customWidth="1"/>
    <col min="19" max="19" width="12.140625" style="49" customWidth="1"/>
    <col min="20" max="30" width="10.85546875" style="49" customWidth="1"/>
    <col min="31" max="34" width="9.28515625" style="50" customWidth="1"/>
    <col min="35" max="35" width="10.5703125" style="50" customWidth="1"/>
    <col min="36" max="36" width="10.42578125" style="50" customWidth="1"/>
    <col min="37" max="37" width="9.28515625" style="50" customWidth="1"/>
    <col min="38" max="38" width="13" style="49" customWidth="1"/>
    <col min="39" max="43" width="10.85546875" style="49" customWidth="1"/>
    <col min="44" max="44" width="10.7109375" style="50" customWidth="1"/>
    <col min="45" max="16384" width="9.140625" style="60"/>
  </cols>
  <sheetData>
    <row r="1" spans="1:44" s="471" customFormat="1" ht="12.75" x14ac:dyDescent="0.2">
      <c r="A1" s="46" t="s">
        <v>2</v>
      </c>
      <c r="B1" s="46"/>
      <c r="C1" s="38"/>
      <c r="D1" s="46"/>
      <c r="E1" s="46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4"/>
      <c r="AP1" s="474"/>
      <c r="AQ1" s="474"/>
      <c r="AR1" s="474"/>
    </row>
    <row r="2" spans="1:44" ht="12.75" customHeight="1" x14ac:dyDescent="0.25">
      <c r="A2" s="46" t="s">
        <v>3</v>
      </c>
      <c r="B2" s="46"/>
      <c r="C2" s="38"/>
      <c r="D2" s="46"/>
      <c r="E2" s="46"/>
    </row>
    <row r="3" spans="1:44" ht="12.75" customHeight="1" x14ac:dyDescent="0.25">
      <c r="A3" s="40" t="s">
        <v>4</v>
      </c>
      <c r="B3" s="40"/>
      <c r="C3" s="40"/>
      <c r="D3" s="40"/>
      <c r="E3" s="40"/>
    </row>
    <row r="4" spans="1:44" ht="15" customHeight="1" x14ac:dyDescent="0.25">
      <c r="A4" s="60"/>
      <c r="B4" s="46"/>
      <c r="C4" s="46"/>
      <c r="D4" s="46"/>
      <c r="E4" s="46"/>
      <c r="P4" s="900"/>
      <c r="AF4" s="900"/>
      <c r="AL4" s="50"/>
      <c r="AM4" s="50"/>
      <c r="AN4" s="50"/>
      <c r="AO4" s="50"/>
      <c r="AP4" s="50"/>
      <c r="AQ4" s="50"/>
    </row>
    <row r="5" spans="1:44" ht="16.5" thickBot="1" x14ac:dyDescent="0.3">
      <c r="A5" s="127" t="s">
        <v>841</v>
      </c>
      <c r="B5" s="475"/>
      <c r="C5" s="475"/>
      <c r="D5" s="475"/>
      <c r="E5" s="474"/>
      <c r="F5" s="551"/>
      <c r="G5" s="551"/>
      <c r="H5" s="47"/>
      <c r="I5" s="387"/>
      <c r="J5" s="387"/>
      <c r="K5" s="387"/>
      <c r="L5" s="387"/>
      <c r="M5" s="387"/>
      <c r="N5" s="387"/>
      <c r="O5" s="322"/>
      <c r="P5" s="707" t="s">
        <v>832</v>
      </c>
      <c r="R5" s="322"/>
      <c r="S5" s="322"/>
      <c r="T5" s="322"/>
      <c r="U5" s="322"/>
      <c r="V5" s="322"/>
      <c r="W5" s="322"/>
      <c r="X5" s="322"/>
      <c r="Y5" s="322"/>
      <c r="Z5" s="322"/>
      <c r="AA5" s="322"/>
      <c r="AF5" s="707" t="s">
        <v>832</v>
      </c>
      <c r="AL5" s="50"/>
      <c r="AM5" s="50"/>
      <c r="AN5" s="50"/>
      <c r="AO5" s="50"/>
      <c r="AP5" s="50"/>
      <c r="AQ5" s="50"/>
    </row>
    <row r="6" spans="1:44" ht="15.75" customHeight="1" thickBot="1" x14ac:dyDescent="0.3">
      <c r="A6" s="390"/>
      <c r="B6" s="391"/>
      <c r="C6" s="392"/>
      <c r="D6" s="392"/>
      <c r="E6" s="391"/>
      <c r="F6" s="391"/>
      <c r="G6" s="47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4" ht="16.5" customHeight="1" thickBot="1" x14ac:dyDescent="0.3">
      <c r="A7" s="60"/>
      <c r="B7" s="5"/>
      <c r="C7"/>
      <c r="D7" s="9"/>
      <c r="E7" s="5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4" s="62" customFormat="1" ht="15" customHeight="1" x14ac:dyDescent="0.25">
      <c r="A8" s="87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4" s="63" customFormat="1" ht="19.5" customHeight="1" thickBot="1" x14ac:dyDescent="0.25">
      <c r="A9" s="86" t="s">
        <v>724</v>
      </c>
      <c r="B9"/>
      <c r="C9"/>
      <c r="D9" s="10"/>
      <c r="E9"/>
      <c r="F9" s="51"/>
      <c r="G9" s="52"/>
      <c r="H9" s="52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4" s="63" customFormat="1" ht="23.25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90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4" s="91" customFormat="1" ht="11.25" customHeight="1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93" t="s">
        <v>517</v>
      </c>
      <c r="H11" s="94" t="s">
        <v>725</v>
      </c>
      <c r="I11" s="575" t="s">
        <v>254</v>
      </c>
      <c r="J11" s="533" t="s">
        <v>255</v>
      </c>
      <c r="K11" s="533" t="s">
        <v>256</v>
      </c>
      <c r="L11" s="533" t="s">
        <v>257</v>
      </c>
      <c r="M11" s="533" t="s">
        <v>804</v>
      </c>
      <c r="N11" s="576" t="s">
        <v>258</v>
      </c>
      <c r="O11" s="536" t="s">
        <v>776</v>
      </c>
      <c r="P11" s="535" t="s">
        <v>789</v>
      </c>
      <c r="Q11" s="535" t="s">
        <v>776</v>
      </c>
      <c r="R11" s="535" t="s">
        <v>776</v>
      </c>
      <c r="S11" s="535" t="s">
        <v>789</v>
      </c>
      <c r="T11" s="535" t="s">
        <v>789</v>
      </c>
      <c r="U11" s="535" t="s">
        <v>776</v>
      </c>
      <c r="V11" s="556" t="s">
        <v>777</v>
      </c>
      <c r="W11" s="535" t="s">
        <v>777</v>
      </c>
      <c r="X11" s="535" t="s">
        <v>777</v>
      </c>
      <c r="Y11" s="533" t="s">
        <v>777</v>
      </c>
      <c r="Z11" s="556" t="s">
        <v>775</v>
      </c>
      <c r="AA11" s="535" t="s">
        <v>273</v>
      </c>
      <c r="AB11" s="535" t="s">
        <v>274</v>
      </c>
      <c r="AC11" s="533" t="s">
        <v>803</v>
      </c>
      <c r="AD11" s="579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75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258</v>
      </c>
    </row>
    <row r="12" spans="1:44" s="67" customFormat="1" ht="14.1" customHeight="1" x14ac:dyDescent="0.2">
      <c r="A12" s="88">
        <v>1</v>
      </c>
      <c r="B12" s="56">
        <v>2314</v>
      </c>
      <c r="C12" s="64">
        <v>600080358</v>
      </c>
      <c r="D12" s="56">
        <v>46745751</v>
      </c>
      <c r="E12" s="56" t="s">
        <v>683</v>
      </c>
      <c r="F12" s="65">
        <v>3114</v>
      </c>
      <c r="G12" s="117" t="s">
        <v>511</v>
      </c>
      <c r="H12" s="66" t="s">
        <v>262</v>
      </c>
      <c r="I12" s="585">
        <f>SUM(J12:M12)</f>
        <v>12282672</v>
      </c>
      <c r="J12" s="434">
        <v>9111774</v>
      </c>
      <c r="K12" s="434">
        <v>3079780</v>
      </c>
      <c r="L12" s="434">
        <v>91118</v>
      </c>
      <c r="M12" s="434">
        <v>0</v>
      </c>
      <c r="N12" s="724">
        <v>11.9346</v>
      </c>
      <c r="O12" s="718">
        <f>V12*-1</f>
        <v>0</v>
      </c>
      <c r="P12" s="526">
        <v>0</v>
      </c>
      <c r="Q12" s="526">
        <v>0</v>
      </c>
      <c r="R12" s="526">
        <v>0</v>
      </c>
      <c r="S12" s="526">
        <v>0</v>
      </c>
      <c r="T12" s="526">
        <v>9763</v>
      </c>
      <c r="U12" s="526">
        <f>O12+P12+Q12+R12+S12+T12</f>
        <v>9763</v>
      </c>
      <c r="V12" s="526">
        <v>0</v>
      </c>
      <c r="W12" s="526">
        <v>0</v>
      </c>
      <c r="X12" s="526">
        <v>0</v>
      </c>
      <c r="Y12" s="526">
        <f>V12+W12+X12</f>
        <v>0</v>
      </c>
      <c r="Z12" s="526">
        <f>U12+Y12</f>
        <v>9763</v>
      </c>
      <c r="AA12" s="639">
        <f>ROUND((U12+Y12)*33.8%,0)</f>
        <v>3300</v>
      </c>
      <c r="AB12" s="639">
        <f>ROUND(U12*1%,0)</f>
        <v>98</v>
      </c>
      <c r="AC12" s="14">
        <v>0</v>
      </c>
      <c r="AD12" s="622">
        <f>Z12+AA12+AB12+AC12</f>
        <v>13161</v>
      </c>
      <c r="AE12" s="624">
        <v>0</v>
      </c>
      <c r="AF12" s="525">
        <v>0</v>
      </c>
      <c r="AG12" s="525">
        <v>0</v>
      </c>
      <c r="AH12" s="525">
        <v>0</v>
      </c>
      <c r="AI12" s="525">
        <v>0</v>
      </c>
      <c r="AJ12" s="525">
        <v>0</v>
      </c>
      <c r="AK12" s="625">
        <f>SUM(AE12:AJ12)</f>
        <v>0</v>
      </c>
      <c r="AL12" s="600">
        <f>I12+AD12</f>
        <v>12295833</v>
      </c>
      <c r="AM12" s="578">
        <f>J12+U12</f>
        <v>9121537</v>
      </c>
      <c r="AN12" s="578">
        <f>Y12</f>
        <v>0</v>
      </c>
      <c r="AO12" s="578">
        <f>K12+AA12</f>
        <v>3083080</v>
      </c>
      <c r="AP12" s="578">
        <f>L12+AB12</f>
        <v>91216</v>
      </c>
      <c r="AQ12" s="578">
        <f>M12+AC12</f>
        <v>0</v>
      </c>
      <c r="AR12" s="695">
        <f>N12+AK12</f>
        <v>11.9346</v>
      </c>
    </row>
    <row r="13" spans="1:44" s="67" customFormat="1" ht="14.1" customHeight="1" x14ac:dyDescent="0.2">
      <c r="A13" s="88">
        <v>1</v>
      </c>
      <c r="B13" s="56">
        <v>2314</v>
      </c>
      <c r="C13" s="64">
        <v>600080358</v>
      </c>
      <c r="D13" s="56">
        <v>46745751</v>
      </c>
      <c r="E13" s="56" t="s">
        <v>683</v>
      </c>
      <c r="F13" s="65">
        <v>3114</v>
      </c>
      <c r="G13" s="39" t="s">
        <v>279</v>
      </c>
      <c r="H13" s="66" t="s">
        <v>262</v>
      </c>
      <c r="I13" s="586">
        <f t="shared" ref="I13:I75" si="0">SUM(J13:M13)</f>
        <v>3560961</v>
      </c>
      <c r="J13" s="14">
        <v>2641663</v>
      </c>
      <c r="K13" s="14">
        <v>892882</v>
      </c>
      <c r="L13" s="14">
        <v>26416</v>
      </c>
      <c r="M13" s="14">
        <v>0</v>
      </c>
      <c r="N13" s="651">
        <v>6.4447999999999999</v>
      </c>
      <c r="O13" s="440">
        <f t="shared" ref="O13:O59" si="1">V13*-1</f>
        <v>0</v>
      </c>
      <c r="P13" s="325">
        <v>0</v>
      </c>
      <c r="Q13" s="325">
        <v>0</v>
      </c>
      <c r="R13" s="325">
        <v>0</v>
      </c>
      <c r="S13" s="325">
        <v>0</v>
      </c>
      <c r="T13" s="325">
        <v>0</v>
      </c>
      <c r="U13" s="492">
        <f>O13+P13+Q13+R13+S13+T13</f>
        <v>0</v>
      </c>
      <c r="V13" s="325">
        <v>0</v>
      </c>
      <c r="W13" s="325">
        <v>0</v>
      </c>
      <c r="X13" s="325">
        <v>0</v>
      </c>
      <c r="Y13" s="492">
        <f t="shared" ref="Y13:Y15" si="2">V13+W13+X13</f>
        <v>0</v>
      </c>
      <c r="Z13" s="492">
        <f t="shared" ref="Z13:Z15" si="3">U13+Y13</f>
        <v>0</v>
      </c>
      <c r="AA13" s="494">
        <f t="shared" ref="AA13:AA15" si="4">ROUND((U13+Y13)*33.8%,0)</f>
        <v>0</v>
      </c>
      <c r="AB13" s="55">
        <f>ROUND(U13*1%,0)</f>
        <v>0</v>
      </c>
      <c r="AC13" s="14">
        <v>0</v>
      </c>
      <c r="AD13" s="622">
        <f t="shared" ref="AD13:AD75" si="5">Z13+AA13+AB13+AC13</f>
        <v>0</v>
      </c>
      <c r="AE13" s="715">
        <v>0</v>
      </c>
      <c r="AF13" s="326">
        <v>0</v>
      </c>
      <c r="AG13" s="326">
        <v>0</v>
      </c>
      <c r="AH13" s="326">
        <v>0</v>
      </c>
      <c r="AI13" s="326">
        <v>0</v>
      </c>
      <c r="AJ13" s="326">
        <v>0</v>
      </c>
      <c r="AK13" s="626">
        <f>SUM(AE13:AJ13)</f>
        <v>0</v>
      </c>
      <c r="AL13" s="696">
        <f>I13+AD13</f>
        <v>3560961</v>
      </c>
      <c r="AM13" s="492">
        <f>J13+U13</f>
        <v>2641663</v>
      </c>
      <c r="AN13" s="492">
        <f>Y13</f>
        <v>0</v>
      </c>
      <c r="AO13" s="492">
        <f t="shared" ref="AO13:AP15" si="6">K13+AA13</f>
        <v>892882</v>
      </c>
      <c r="AP13" s="492">
        <f t="shared" si="6"/>
        <v>26416</v>
      </c>
      <c r="AQ13" s="578">
        <f t="shared" ref="AQ13:AQ75" si="7">M13+AC13</f>
        <v>0</v>
      </c>
      <c r="AR13" s="626">
        <f>N13+AK13</f>
        <v>6.4447999999999999</v>
      </c>
    </row>
    <row r="14" spans="1:44" s="67" customFormat="1" ht="14.1" customHeight="1" x14ac:dyDescent="0.2">
      <c r="A14" s="88">
        <v>1</v>
      </c>
      <c r="B14" s="56">
        <v>2314</v>
      </c>
      <c r="C14" s="64">
        <v>600080358</v>
      </c>
      <c r="D14" s="56">
        <v>46745751</v>
      </c>
      <c r="E14" s="56" t="s">
        <v>683</v>
      </c>
      <c r="F14" s="65">
        <v>3114</v>
      </c>
      <c r="G14" s="39" t="s">
        <v>278</v>
      </c>
      <c r="H14" s="66" t="s">
        <v>263</v>
      </c>
      <c r="I14" s="586">
        <f t="shared" si="0"/>
        <v>0</v>
      </c>
      <c r="J14" s="423">
        <v>0</v>
      </c>
      <c r="K14" s="14">
        <v>0</v>
      </c>
      <c r="L14" s="14">
        <v>0</v>
      </c>
      <c r="M14" s="14">
        <v>0</v>
      </c>
      <c r="N14" s="725">
        <v>0</v>
      </c>
      <c r="O14" s="440">
        <f t="shared" si="1"/>
        <v>0</v>
      </c>
      <c r="P14" s="325">
        <v>0</v>
      </c>
      <c r="Q14" s="325">
        <v>0</v>
      </c>
      <c r="R14" s="325">
        <v>0</v>
      </c>
      <c r="S14" s="325">
        <v>0</v>
      </c>
      <c r="T14" s="325">
        <v>0</v>
      </c>
      <c r="U14" s="492">
        <f>O14+P14+Q14+R14+S14+T14</f>
        <v>0</v>
      </c>
      <c r="V14" s="325">
        <v>0</v>
      </c>
      <c r="W14" s="325">
        <v>0</v>
      </c>
      <c r="X14" s="325">
        <v>0</v>
      </c>
      <c r="Y14" s="492">
        <f t="shared" si="2"/>
        <v>0</v>
      </c>
      <c r="Z14" s="492">
        <f t="shared" si="3"/>
        <v>0</v>
      </c>
      <c r="AA14" s="494">
        <f t="shared" si="4"/>
        <v>0</v>
      </c>
      <c r="AB14" s="55">
        <f>ROUND(U14*1%,0)</f>
        <v>0</v>
      </c>
      <c r="AC14" s="14">
        <v>0</v>
      </c>
      <c r="AD14" s="622">
        <f t="shared" si="5"/>
        <v>0</v>
      </c>
      <c r="AE14" s="715">
        <v>0</v>
      </c>
      <c r="AF14" s="326">
        <v>0</v>
      </c>
      <c r="AG14" s="326">
        <v>0</v>
      </c>
      <c r="AH14" s="326">
        <v>0</v>
      </c>
      <c r="AI14" s="326">
        <v>0</v>
      </c>
      <c r="AJ14" s="326">
        <v>0</v>
      </c>
      <c r="AK14" s="626">
        <f>SUM(AE14:AJ14)</f>
        <v>0</v>
      </c>
      <c r="AL14" s="696">
        <f>I14+AD14</f>
        <v>0</v>
      </c>
      <c r="AM14" s="492">
        <f>J14+U14</f>
        <v>0</v>
      </c>
      <c r="AN14" s="492">
        <f>Y14</f>
        <v>0</v>
      </c>
      <c r="AO14" s="492">
        <f t="shared" si="6"/>
        <v>0</v>
      </c>
      <c r="AP14" s="492">
        <f t="shared" si="6"/>
        <v>0</v>
      </c>
      <c r="AQ14" s="578">
        <f t="shared" si="7"/>
        <v>0</v>
      </c>
      <c r="AR14" s="626">
        <f>N14+AK14</f>
        <v>0</v>
      </c>
    </row>
    <row r="15" spans="1:44" s="67" customFormat="1" ht="14.1" customHeight="1" x14ac:dyDescent="0.2">
      <c r="A15" s="88">
        <v>1</v>
      </c>
      <c r="B15" s="56">
        <v>2314</v>
      </c>
      <c r="C15" s="64">
        <v>600080358</v>
      </c>
      <c r="D15" s="56">
        <v>46745751</v>
      </c>
      <c r="E15" s="56" t="s">
        <v>683</v>
      </c>
      <c r="F15" s="65">
        <v>3143</v>
      </c>
      <c r="G15" s="56" t="s">
        <v>794</v>
      </c>
      <c r="H15" s="66" t="s">
        <v>262</v>
      </c>
      <c r="I15" s="586">
        <f t="shared" si="0"/>
        <v>852847</v>
      </c>
      <c r="J15" s="14">
        <v>632676</v>
      </c>
      <c r="K15" s="14">
        <v>213844</v>
      </c>
      <c r="L15" s="14">
        <v>6327</v>
      </c>
      <c r="M15" s="14">
        <v>0</v>
      </c>
      <c r="N15" s="651">
        <v>1.3214999999999999</v>
      </c>
      <c r="O15" s="440">
        <f t="shared" si="1"/>
        <v>0</v>
      </c>
      <c r="P15" s="325">
        <v>0</v>
      </c>
      <c r="Q15" s="325">
        <v>0</v>
      </c>
      <c r="R15" s="325">
        <v>0</v>
      </c>
      <c r="S15" s="325">
        <v>0</v>
      </c>
      <c r="T15" s="325">
        <v>0</v>
      </c>
      <c r="U15" s="492">
        <f>O15+P15+Q15+R15+S15+T15</f>
        <v>0</v>
      </c>
      <c r="V15" s="325">
        <v>0</v>
      </c>
      <c r="W15" s="325">
        <v>0</v>
      </c>
      <c r="X15" s="325">
        <v>0</v>
      </c>
      <c r="Y15" s="492">
        <f t="shared" si="2"/>
        <v>0</v>
      </c>
      <c r="Z15" s="492">
        <f t="shared" si="3"/>
        <v>0</v>
      </c>
      <c r="AA15" s="494">
        <f t="shared" si="4"/>
        <v>0</v>
      </c>
      <c r="AB15" s="55">
        <f>ROUND(U15*1%,0)</f>
        <v>0</v>
      </c>
      <c r="AC15" s="14">
        <v>0</v>
      </c>
      <c r="AD15" s="622">
        <f t="shared" si="5"/>
        <v>0</v>
      </c>
      <c r="AE15" s="715">
        <v>0</v>
      </c>
      <c r="AF15" s="326">
        <v>0</v>
      </c>
      <c r="AG15" s="326">
        <v>0</v>
      </c>
      <c r="AH15" s="326">
        <v>0</v>
      </c>
      <c r="AI15" s="326">
        <v>0</v>
      </c>
      <c r="AJ15" s="326">
        <v>0</v>
      </c>
      <c r="AK15" s="626">
        <f>SUM(AE15:AJ15)</f>
        <v>0</v>
      </c>
      <c r="AL15" s="696">
        <f>I15+AD15</f>
        <v>852847</v>
      </c>
      <c r="AM15" s="492">
        <f>J15+U15</f>
        <v>632676</v>
      </c>
      <c r="AN15" s="492">
        <f>Y15</f>
        <v>0</v>
      </c>
      <c r="AO15" s="492">
        <f t="shared" si="6"/>
        <v>213844</v>
      </c>
      <c r="AP15" s="492">
        <f t="shared" si="6"/>
        <v>6327</v>
      </c>
      <c r="AQ15" s="578">
        <f t="shared" si="7"/>
        <v>0</v>
      </c>
      <c r="AR15" s="626">
        <f>N15+AK15</f>
        <v>1.3214999999999999</v>
      </c>
    </row>
    <row r="16" spans="1:44" s="67" customFormat="1" ht="14.1" customHeight="1" x14ac:dyDescent="0.2">
      <c r="A16" s="89">
        <v>1</v>
      </c>
      <c r="B16" s="68">
        <v>2314</v>
      </c>
      <c r="C16" s="69">
        <v>600080358</v>
      </c>
      <c r="D16" s="68">
        <v>46745751</v>
      </c>
      <c r="E16" s="68" t="s">
        <v>684</v>
      </c>
      <c r="F16" s="70"/>
      <c r="G16" s="71"/>
      <c r="H16" s="72"/>
      <c r="I16" s="587">
        <f t="shared" ref="I16:N16" si="8">SUM(I12:I15)</f>
        <v>16696480</v>
      </c>
      <c r="J16" s="334">
        <f t="shared" si="8"/>
        <v>12386113</v>
      </c>
      <c r="K16" s="334">
        <f t="shared" si="8"/>
        <v>4186506</v>
      </c>
      <c r="L16" s="334">
        <f t="shared" si="8"/>
        <v>123861</v>
      </c>
      <c r="M16" s="334">
        <f t="shared" si="8"/>
        <v>0</v>
      </c>
      <c r="N16" s="74">
        <f t="shared" si="8"/>
        <v>19.700900000000001</v>
      </c>
      <c r="O16" s="719">
        <f t="shared" ref="O16:Y16" si="9">SUM(O12:O15)</f>
        <v>0</v>
      </c>
      <c r="P16" s="334">
        <f t="shared" si="9"/>
        <v>0</v>
      </c>
      <c r="Q16" s="334">
        <f t="shared" si="9"/>
        <v>0</v>
      </c>
      <c r="R16" s="334">
        <f t="shared" si="9"/>
        <v>0</v>
      </c>
      <c r="S16" s="334">
        <f t="shared" si="9"/>
        <v>0</v>
      </c>
      <c r="T16" s="334">
        <f t="shared" si="9"/>
        <v>9763</v>
      </c>
      <c r="U16" s="334">
        <f t="shared" si="9"/>
        <v>9763</v>
      </c>
      <c r="V16" s="334">
        <f t="shared" si="9"/>
        <v>0</v>
      </c>
      <c r="W16" s="334">
        <f t="shared" si="9"/>
        <v>0</v>
      </c>
      <c r="X16" s="334">
        <f t="shared" si="9"/>
        <v>0</v>
      </c>
      <c r="Y16" s="334">
        <f t="shared" si="9"/>
        <v>0</v>
      </c>
      <c r="Z16" s="334">
        <f t="shared" ref="Z16:AR16" si="10">SUM(Z12:Z15)</f>
        <v>9763</v>
      </c>
      <c r="AA16" s="334">
        <f t="shared" si="10"/>
        <v>3300</v>
      </c>
      <c r="AB16" s="334">
        <f t="shared" si="10"/>
        <v>98</v>
      </c>
      <c r="AC16" s="334">
        <f t="shared" si="10"/>
        <v>0</v>
      </c>
      <c r="AD16" s="712">
        <f t="shared" si="10"/>
        <v>13161</v>
      </c>
      <c r="AE16" s="716">
        <f t="shared" si="10"/>
        <v>0</v>
      </c>
      <c r="AF16" s="335">
        <f t="shared" si="10"/>
        <v>0</v>
      </c>
      <c r="AG16" s="335">
        <f t="shared" si="10"/>
        <v>0</v>
      </c>
      <c r="AH16" s="335">
        <f t="shared" si="10"/>
        <v>0</v>
      </c>
      <c r="AI16" s="335">
        <f t="shared" si="10"/>
        <v>0</v>
      </c>
      <c r="AJ16" s="335">
        <f t="shared" si="10"/>
        <v>0</v>
      </c>
      <c r="AK16" s="74">
        <f t="shared" si="10"/>
        <v>0</v>
      </c>
      <c r="AL16" s="589">
        <f t="shared" si="10"/>
        <v>16709641</v>
      </c>
      <c r="AM16" s="557">
        <f t="shared" si="10"/>
        <v>12395876</v>
      </c>
      <c r="AN16" s="557">
        <f t="shared" si="10"/>
        <v>0</v>
      </c>
      <c r="AO16" s="557">
        <f t="shared" si="10"/>
        <v>4189806</v>
      </c>
      <c r="AP16" s="557">
        <f t="shared" si="10"/>
        <v>123959</v>
      </c>
      <c r="AQ16" s="557">
        <f t="shared" si="10"/>
        <v>0</v>
      </c>
      <c r="AR16" s="590">
        <f t="shared" si="10"/>
        <v>19.700900000000001</v>
      </c>
    </row>
    <row r="17" spans="1:44" s="67" customFormat="1" ht="14.1" customHeight="1" x14ac:dyDescent="0.2">
      <c r="A17" s="88">
        <v>2</v>
      </c>
      <c r="B17" s="73">
        <v>2448</v>
      </c>
      <c r="C17" s="64">
        <v>600080269</v>
      </c>
      <c r="D17" s="56">
        <v>63154617</v>
      </c>
      <c r="E17" s="56" t="s">
        <v>685</v>
      </c>
      <c r="F17" s="65">
        <v>3111</v>
      </c>
      <c r="G17" s="56" t="s">
        <v>277</v>
      </c>
      <c r="H17" s="66" t="s">
        <v>262</v>
      </c>
      <c r="I17" s="586">
        <f t="shared" si="0"/>
        <v>17050588</v>
      </c>
      <c r="J17" s="14">
        <v>12648804</v>
      </c>
      <c r="K17" s="14">
        <v>4275296</v>
      </c>
      <c r="L17" s="14">
        <v>126488</v>
      </c>
      <c r="M17" s="14">
        <v>0</v>
      </c>
      <c r="N17" s="651">
        <v>20.61</v>
      </c>
      <c r="O17" s="440">
        <f t="shared" si="1"/>
        <v>-60000</v>
      </c>
      <c r="P17" s="325">
        <v>0</v>
      </c>
      <c r="Q17" s="325">
        <v>0</v>
      </c>
      <c r="R17" s="325">
        <v>0</v>
      </c>
      <c r="S17" s="325">
        <v>0</v>
      </c>
      <c r="T17" s="325">
        <v>0</v>
      </c>
      <c r="U17" s="492">
        <f t="shared" ref="U17:U23" si="11">O17+P17+Q17+R17+S17+T17</f>
        <v>-60000</v>
      </c>
      <c r="V17" s="325">
        <v>60000</v>
      </c>
      <c r="W17" s="325">
        <v>0</v>
      </c>
      <c r="X17" s="325">
        <v>0</v>
      </c>
      <c r="Y17" s="492">
        <f t="shared" ref="Y17:Y23" si="12">V17+W17+X17</f>
        <v>60000</v>
      </c>
      <c r="Z17" s="492">
        <f t="shared" ref="Z17:Z23" si="13">U17+Y17</f>
        <v>0</v>
      </c>
      <c r="AA17" s="494">
        <f t="shared" ref="AA17:AA23" si="14">ROUND((U17+Y17)*33.8%,0)</f>
        <v>0</v>
      </c>
      <c r="AB17" s="55">
        <f t="shared" ref="AB17:AB23" si="15">ROUND(U17*1%,0)</f>
        <v>-600</v>
      </c>
      <c r="AC17" s="14">
        <v>0</v>
      </c>
      <c r="AD17" s="622">
        <f t="shared" si="5"/>
        <v>-600</v>
      </c>
      <c r="AE17" s="715">
        <v>0</v>
      </c>
      <c r="AF17" s="326">
        <v>0</v>
      </c>
      <c r="AG17" s="326">
        <v>0</v>
      </c>
      <c r="AH17" s="326">
        <v>0</v>
      </c>
      <c r="AI17" s="326">
        <v>0</v>
      </c>
      <c r="AJ17" s="326">
        <v>0</v>
      </c>
      <c r="AK17" s="626">
        <f t="shared" ref="AK17:AK23" si="16">SUM(AE17:AJ17)</f>
        <v>0</v>
      </c>
      <c r="AL17" s="696">
        <f t="shared" ref="AL17:AL23" si="17">I17+AD17</f>
        <v>17049988</v>
      </c>
      <c r="AM17" s="492">
        <f t="shared" ref="AM17:AM23" si="18">J17+U17</f>
        <v>12588804</v>
      </c>
      <c r="AN17" s="492">
        <f t="shared" ref="AN17:AN23" si="19">Y17</f>
        <v>60000</v>
      </c>
      <c r="AO17" s="492">
        <f t="shared" ref="AO17:AP23" si="20">K17+AA17</f>
        <v>4275296</v>
      </c>
      <c r="AP17" s="492">
        <f t="shared" si="20"/>
        <v>125888</v>
      </c>
      <c r="AQ17" s="578">
        <f t="shared" si="7"/>
        <v>0</v>
      </c>
      <c r="AR17" s="626">
        <f t="shared" ref="AR17:AR23" si="21">N17+AK17</f>
        <v>20.61</v>
      </c>
    </row>
    <row r="18" spans="1:44" s="67" customFormat="1" ht="14.1" customHeight="1" x14ac:dyDescent="0.2">
      <c r="A18" s="88">
        <v>2</v>
      </c>
      <c r="B18" s="73">
        <v>2448</v>
      </c>
      <c r="C18" s="64">
        <v>600080269</v>
      </c>
      <c r="D18" s="56">
        <v>63154617</v>
      </c>
      <c r="E18" s="56" t="s">
        <v>685</v>
      </c>
      <c r="F18" s="65">
        <v>3113</v>
      </c>
      <c r="G18" s="56" t="s">
        <v>280</v>
      </c>
      <c r="H18" s="66" t="s">
        <v>262</v>
      </c>
      <c r="I18" s="586">
        <f t="shared" si="0"/>
        <v>59482183</v>
      </c>
      <c r="J18" s="14">
        <v>44126248</v>
      </c>
      <c r="K18" s="14">
        <v>14914672</v>
      </c>
      <c r="L18" s="14">
        <v>441263</v>
      </c>
      <c r="M18" s="14">
        <v>0</v>
      </c>
      <c r="N18" s="651">
        <v>58.229300000000002</v>
      </c>
      <c r="O18" s="440">
        <f t="shared" si="1"/>
        <v>-27000</v>
      </c>
      <c r="P18" s="325">
        <v>0</v>
      </c>
      <c r="Q18" s="325">
        <v>0</v>
      </c>
      <c r="R18" s="325">
        <v>0</v>
      </c>
      <c r="S18" s="325">
        <v>0</v>
      </c>
      <c r="T18" s="325">
        <v>0</v>
      </c>
      <c r="U18" s="492">
        <f t="shared" si="11"/>
        <v>-27000</v>
      </c>
      <c r="V18" s="325">
        <v>27000</v>
      </c>
      <c r="W18" s="325">
        <v>0</v>
      </c>
      <c r="X18" s="325">
        <v>0</v>
      </c>
      <c r="Y18" s="492">
        <f t="shared" si="12"/>
        <v>27000</v>
      </c>
      <c r="Z18" s="492">
        <f t="shared" si="13"/>
        <v>0</v>
      </c>
      <c r="AA18" s="494">
        <f t="shared" si="14"/>
        <v>0</v>
      </c>
      <c r="AB18" s="55">
        <f t="shared" si="15"/>
        <v>-270</v>
      </c>
      <c r="AC18" s="14">
        <v>0</v>
      </c>
      <c r="AD18" s="622">
        <f t="shared" si="5"/>
        <v>-270</v>
      </c>
      <c r="AE18" s="715">
        <v>0</v>
      </c>
      <c r="AF18" s="326">
        <v>0</v>
      </c>
      <c r="AG18" s="326">
        <v>0</v>
      </c>
      <c r="AH18" s="326">
        <v>0</v>
      </c>
      <c r="AI18" s="326">
        <v>0</v>
      </c>
      <c r="AJ18" s="326">
        <v>0</v>
      </c>
      <c r="AK18" s="626">
        <f t="shared" si="16"/>
        <v>0</v>
      </c>
      <c r="AL18" s="696">
        <f t="shared" si="17"/>
        <v>59481913</v>
      </c>
      <c r="AM18" s="492">
        <f t="shared" si="18"/>
        <v>44099248</v>
      </c>
      <c r="AN18" s="492">
        <f t="shared" si="19"/>
        <v>27000</v>
      </c>
      <c r="AO18" s="492">
        <f t="shared" si="20"/>
        <v>14914672</v>
      </c>
      <c r="AP18" s="492">
        <f t="shared" si="20"/>
        <v>440993</v>
      </c>
      <c r="AQ18" s="578">
        <f t="shared" si="7"/>
        <v>0</v>
      </c>
      <c r="AR18" s="626">
        <f t="shared" si="21"/>
        <v>58.229300000000002</v>
      </c>
    </row>
    <row r="19" spans="1:44" s="67" customFormat="1" ht="14.1" customHeight="1" x14ac:dyDescent="0.2">
      <c r="A19" s="88">
        <v>2</v>
      </c>
      <c r="B19" s="73">
        <v>2448</v>
      </c>
      <c r="C19" s="64">
        <v>600080269</v>
      </c>
      <c r="D19" s="56">
        <v>63154617</v>
      </c>
      <c r="E19" s="56" t="s">
        <v>685</v>
      </c>
      <c r="F19" s="65">
        <v>3113</v>
      </c>
      <c r="G19" s="56" t="s">
        <v>799</v>
      </c>
      <c r="H19" s="66" t="s">
        <v>262</v>
      </c>
      <c r="I19" s="586">
        <f t="shared" si="0"/>
        <v>1334811</v>
      </c>
      <c r="J19" s="14">
        <v>990216</v>
      </c>
      <c r="K19" s="14">
        <v>334693</v>
      </c>
      <c r="L19" s="14">
        <v>9902</v>
      </c>
      <c r="M19" s="14">
        <v>0</v>
      </c>
      <c r="N19" s="651">
        <v>2</v>
      </c>
      <c r="O19" s="440">
        <f t="shared" ref="O19" si="22">V19*-1</f>
        <v>0</v>
      </c>
      <c r="P19" s="325">
        <v>0</v>
      </c>
      <c r="Q19" s="325">
        <v>0</v>
      </c>
      <c r="R19" s="325">
        <v>0</v>
      </c>
      <c r="S19" s="325">
        <v>0</v>
      </c>
      <c r="T19" s="325">
        <v>0</v>
      </c>
      <c r="U19" s="492">
        <f t="shared" ref="U19" si="23">O19+P19+Q19+R19+S19+T19</f>
        <v>0</v>
      </c>
      <c r="V19" s="325">
        <v>0</v>
      </c>
      <c r="W19" s="325">
        <v>0</v>
      </c>
      <c r="X19" s="325">
        <v>0</v>
      </c>
      <c r="Y19" s="492">
        <f t="shared" ref="Y19" si="24">V19+W19+X19</f>
        <v>0</v>
      </c>
      <c r="Z19" s="492">
        <f t="shared" ref="Z19" si="25">U19+Y19</f>
        <v>0</v>
      </c>
      <c r="AA19" s="494">
        <f t="shared" ref="AA19" si="26">ROUND((U19+Y19)*33.8%,0)</f>
        <v>0</v>
      </c>
      <c r="AB19" s="55">
        <f t="shared" ref="AB19" si="27">ROUND(U19*1%,0)</f>
        <v>0</v>
      </c>
      <c r="AC19" s="14">
        <v>0</v>
      </c>
      <c r="AD19" s="622">
        <f t="shared" si="5"/>
        <v>0</v>
      </c>
      <c r="AE19" s="715">
        <v>0</v>
      </c>
      <c r="AF19" s="326">
        <v>0</v>
      </c>
      <c r="AG19" s="326">
        <v>0</v>
      </c>
      <c r="AH19" s="326">
        <v>0</v>
      </c>
      <c r="AI19" s="326">
        <v>0</v>
      </c>
      <c r="AJ19" s="326">
        <v>0</v>
      </c>
      <c r="AK19" s="626">
        <f t="shared" ref="AK19" si="28">SUM(AE19:AJ19)</f>
        <v>0</v>
      </c>
      <c r="AL19" s="696">
        <f t="shared" si="17"/>
        <v>1334811</v>
      </c>
      <c r="AM19" s="492">
        <f t="shared" si="18"/>
        <v>990216</v>
      </c>
      <c r="AN19" s="492">
        <f t="shared" si="19"/>
        <v>0</v>
      </c>
      <c r="AO19" s="492">
        <f t="shared" si="20"/>
        <v>334693</v>
      </c>
      <c r="AP19" s="492">
        <f t="shared" si="20"/>
        <v>9902</v>
      </c>
      <c r="AQ19" s="578">
        <f t="shared" si="7"/>
        <v>0</v>
      </c>
      <c r="AR19" s="626">
        <f t="shared" si="21"/>
        <v>2</v>
      </c>
    </row>
    <row r="20" spans="1:44" s="67" customFormat="1" ht="14.1" customHeight="1" x14ac:dyDescent="0.2">
      <c r="A20" s="88">
        <v>2</v>
      </c>
      <c r="B20" s="56">
        <v>2448</v>
      </c>
      <c r="C20" s="64">
        <v>600080269</v>
      </c>
      <c r="D20" s="56">
        <v>63154617</v>
      </c>
      <c r="E20" s="56" t="s">
        <v>685</v>
      </c>
      <c r="F20" s="65">
        <v>3113</v>
      </c>
      <c r="G20" s="56" t="s">
        <v>278</v>
      </c>
      <c r="H20" s="66" t="s">
        <v>263</v>
      </c>
      <c r="I20" s="586">
        <f t="shared" si="0"/>
        <v>0</v>
      </c>
      <c r="J20" s="423">
        <v>0</v>
      </c>
      <c r="K20" s="14">
        <v>0</v>
      </c>
      <c r="L20" s="14">
        <v>0</v>
      </c>
      <c r="M20" s="14">
        <v>0</v>
      </c>
      <c r="N20" s="725">
        <v>0</v>
      </c>
      <c r="O20" s="440">
        <f t="shared" si="1"/>
        <v>0</v>
      </c>
      <c r="P20" s="423">
        <f>8114178+111352</f>
        <v>8225530</v>
      </c>
      <c r="Q20" s="325">
        <v>0</v>
      </c>
      <c r="R20" s="325">
        <v>0</v>
      </c>
      <c r="S20" s="325">
        <v>0</v>
      </c>
      <c r="T20" s="325">
        <v>0</v>
      </c>
      <c r="U20" s="492">
        <f t="shared" si="11"/>
        <v>8225530</v>
      </c>
      <c r="V20" s="325">
        <v>0</v>
      </c>
      <c r="W20" s="325">
        <v>0</v>
      </c>
      <c r="X20" s="325">
        <v>0</v>
      </c>
      <c r="Y20" s="492">
        <f t="shared" si="12"/>
        <v>0</v>
      </c>
      <c r="Z20" s="492">
        <f t="shared" si="13"/>
        <v>8225530</v>
      </c>
      <c r="AA20" s="494">
        <f t="shared" si="14"/>
        <v>2780229</v>
      </c>
      <c r="AB20" s="55">
        <f t="shared" si="15"/>
        <v>82255</v>
      </c>
      <c r="AC20" s="14">
        <v>0</v>
      </c>
      <c r="AD20" s="622">
        <f t="shared" si="5"/>
        <v>11088014</v>
      </c>
      <c r="AE20" s="715">
        <v>0</v>
      </c>
      <c r="AF20" s="729">
        <f>20.03+0.42</f>
        <v>20.450000000000003</v>
      </c>
      <c r="AG20" s="326">
        <v>0</v>
      </c>
      <c r="AH20" s="326">
        <v>0</v>
      </c>
      <c r="AI20" s="326">
        <v>0</v>
      </c>
      <c r="AJ20" s="326">
        <v>0</v>
      </c>
      <c r="AK20" s="626">
        <f t="shared" si="16"/>
        <v>20.450000000000003</v>
      </c>
      <c r="AL20" s="696">
        <f t="shared" si="17"/>
        <v>11088014</v>
      </c>
      <c r="AM20" s="492">
        <f t="shared" si="18"/>
        <v>8225530</v>
      </c>
      <c r="AN20" s="492">
        <f t="shared" si="19"/>
        <v>0</v>
      </c>
      <c r="AO20" s="492">
        <f t="shared" si="20"/>
        <v>2780229</v>
      </c>
      <c r="AP20" s="492">
        <f t="shared" si="20"/>
        <v>82255</v>
      </c>
      <c r="AQ20" s="578">
        <f t="shared" si="7"/>
        <v>0</v>
      </c>
      <c r="AR20" s="626">
        <f t="shared" si="21"/>
        <v>20.450000000000003</v>
      </c>
    </row>
    <row r="21" spans="1:44" s="67" customFormat="1" ht="14.1" customHeight="1" x14ac:dyDescent="0.2">
      <c r="A21" s="88">
        <v>2</v>
      </c>
      <c r="B21" s="56">
        <v>2448</v>
      </c>
      <c r="C21" s="64">
        <v>600080269</v>
      </c>
      <c r="D21" s="56">
        <v>63154617</v>
      </c>
      <c r="E21" s="56" t="s">
        <v>685</v>
      </c>
      <c r="F21" s="65">
        <v>3143</v>
      </c>
      <c r="G21" s="56" t="s">
        <v>794</v>
      </c>
      <c r="H21" s="66" t="s">
        <v>262</v>
      </c>
      <c r="I21" s="586">
        <f t="shared" si="0"/>
        <v>4663590</v>
      </c>
      <c r="J21" s="14">
        <v>3459637</v>
      </c>
      <c r="K21" s="14">
        <v>1169357</v>
      </c>
      <c r="L21" s="14">
        <v>34596</v>
      </c>
      <c r="M21" s="14">
        <v>0</v>
      </c>
      <c r="N21" s="651">
        <v>6.3</v>
      </c>
      <c r="O21" s="440">
        <f t="shared" si="1"/>
        <v>-30000</v>
      </c>
      <c r="P21" s="325">
        <v>0</v>
      </c>
      <c r="Q21" s="325">
        <v>0</v>
      </c>
      <c r="R21" s="325">
        <v>0</v>
      </c>
      <c r="S21" s="325">
        <v>0</v>
      </c>
      <c r="T21" s="325">
        <v>0</v>
      </c>
      <c r="U21" s="492">
        <f t="shared" si="11"/>
        <v>-30000</v>
      </c>
      <c r="V21" s="325">
        <v>30000</v>
      </c>
      <c r="W21" s="325">
        <v>0</v>
      </c>
      <c r="X21" s="325">
        <v>0</v>
      </c>
      <c r="Y21" s="492">
        <f t="shared" si="12"/>
        <v>30000</v>
      </c>
      <c r="Z21" s="492">
        <f t="shared" si="13"/>
        <v>0</v>
      </c>
      <c r="AA21" s="494">
        <f t="shared" si="14"/>
        <v>0</v>
      </c>
      <c r="AB21" s="55">
        <f t="shared" si="15"/>
        <v>-300</v>
      </c>
      <c r="AC21" s="14">
        <v>0</v>
      </c>
      <c r="AD21" s="622">
        <f t="shared" si="5"/>
        <v>-300</v>
      </c>
      <c r="AE21" s="715">
        <v>0</v>
      </c>
      <c r="AF21" s="326">
        <v>0</v>
      </c>
      <c r="AG21" s="326">
        <v>0</v>
      </c>
      <c r="AH21" s="326">
        <v>0</v>
      </c>
      <c r="AI21" s="326">
        <v>0</v>
      </c>
      <c r="AJ21" s="326">
        <v>0</v>
      </c>
      <c r="AK21" s="626">
        <f t="shared" si="16"/>
        <v>0</v>
      </c>
      <c r="AL21" s="696">
        <f t="shared" si="17"/>
        <v>4663290</v>
      </c>
      <c r="AM21" s="492">
        <f t="shared" si="18"/>
        <v>3429637</v>
      </c>
      <c r="AN21" s="492">
        <f t="shared" si="19"/>
        <v>30000</v>
      </c>
      <c r="AO21" s="492">
        <f t="shared" si="20"/>
        <v>1169357</v>
      </c>
      <c r="AP21" s="492">
        <f t="shared" si="20"/>
        <v>34296</v>
      </c>
      <c r="AQ21" s="578">
        <f t="shared" si="7"/>
        <v>0</v>
      </c>
      <c r="AR21" s="626">
        <f t="shared" si="21"/>
        <v>6.3</v>
      </c>
    </row>
    <row r="22" spans="1:44" s="67" customFormat="1" ht="14.1" customHeight="1" x14ac:dyDescent="0.2">
      <c r="A22" s="88">
        <v>2</v>
      </c>
      <c r="B22" s="56">
        <v>2448</v>
      </c>
      <c r="C22" s="64">
        <v>600080269</v>
      </c>
      <c r="D22" s="56">
        <v>63154617</v>
      </c>
      <c r="E22" s="56" t="s">
        <v>685</v>
      </c>
      <c r="F22" s="65">
        <v>3231</v>
      </c>
      <c r="G22" s="56" t="s">
        <v>281</v>
      </c>
      <c r="H22" s="66" t="s">
        <v>262</v>
      </c>
      <c r="I22" s="586">
        <f t="shared" si="0"/>
        <v>9670328</v>
      </c>
      <c r="J22" s="723">
        <v>7173834</v>
      </c>
      <c r="K22" s="14">
        <v>2424756</v>
      </c>
      <c r="L22" s="14">
        <v>71738</v>
      </c>
      <c r="M22" s="14">
        <v>0</v>
      </c>
      <c r="N22" s="631">
        <v>10.7037</v>
      </c>
      <c r="O22" s="440">
        <f t="shared" si="1"/>
        <v>-63000</v>
      </c>
      <c r="P22" s="325">
        <v>0</v>
      </c>
      <c r="Q22" s="325">
        <v>0</v>
      </c>
      <c r="R22" s="325">
        <v>0</v>
      </c>
      <c r="S22" s="325">
        <v>0</v>
      </c>
      <c r="T22" s="325">
        <v>0</v>
      </c>
      <c r="U22" s="492">
        <f t="shared" si="11"/>
        <v>-63000</v>
      </c>
      <c r="V22" s="325">
        <v>63000</v>
      </c>
      <c r="W22" s="325">
        <v>0</v>
      </c>
      <c r="X22" s="325">
        <v>0</v>
      </c>
      <c r="Y22" s="492">
        <f t="shared" si="12"/>
        <v>63000</v>
      </c>
      <c r="Z22" s="492">
        <f t="shared" si="13"/>
        <v>0</v>
      </c>
      <c r="AA22" s="494">
        <f t="shared" si="14"/>
        <v>0</v>
      </c>
      <c r="AB22" s="55">
        <f t="shared" si="15"/>
        <v>-630</v>
      </c>
      <c r="AC22" s="14">
        <v>0</v>
      </c>
      <c r="AD22" s="622">
        <f t="shared" si="5"/>
        <v>-630</v>
      </c>
      <c r="AE22" s="715">
        <v>-0.05</v>
      </c>
      <c r="AF22" s="326">
        <v>0</v>
      </c>
      <c r="AG22" s="326">
        <v>0</v>
      </c>
      <c r="AH22" s="326">
        <v>0</v>
      </c>
      <c r="AI22" s="326">
        <v>0</v>
      </c>
      <c r="AJ22" s="326">
        <v>0</v>
      </c>
      <c r="AK22" s="626">
        <f t="shared" si="16"/>
        <v>-0.05</v>
      </c>
      <c r="AL22" s="696">
        <f t="shared" si="17"/>
        <v>9669698</v>
      </c>
      <c r="AM22" s="492">
        <f t="shared" si="18"/>
        <v>7110834</v>
      </c>
      <c r="AN22" s="492">
        <f t="shared" si="19"/>
        <v>63000</v>
      </c>
      <c r="AO22" s="492">
        <f t="shared" si="20"/>
        <v>2424756</v>
      </c>
      <c r="AP22" s="492">
        <f t="shared" si="20"/>
        <v>71108</v>
      </c>
      <c r="AQ22" s="578">
        <f t="shared" si="7"/>
        <v>0</v>
      </c>
      <c r="AR22" s="626">
        <f t="shared" si="21"/>
        <v>10.653699999999999</v>
      </c>
    </row>
    <row r="23" spans="1:44" s="67" customFormat="1" ht="14.1" customHeight="1" x14ac:dyDescent="0.2">
      <c r="A23" s="88">
        <v>2</v>
      </c>
      <c r="B23" s="56">
        <v>2448</v>
      </c>
      <c r="C23" s="64">
        <v>600080269</v>
      </c>
      <c r="D23" s="56">
        <v>63154617</v>
      </c>
      <c r="E23" s="56" t="s">
        <v>685</v>
      </c>
      <c r="F23" s="65">
        <v>3233</v>
      </c>
      <c r="G23" s="56" t="s">
        <v>283</v>
      </c>
      <c r="H23" s="66" t="s">
        <v>263</v>
      </c>
      <c r="I23" s="586">
        <f t="shared" si="0"/>
        <v>1620584</v>
      </c>
      <c r="J23" s="423">
        <v>1202214</v>
      </c>
      <c r="K23" s="14">
        <f>ROUND(J23*33.8%,0)</f>
        <v>406348</v>
      </c>
      <c r="L23" s="14">
        <f>ROUND(J23*1%,0)</f>
        <v>12022</v>
      </c>
      <c r="M23" s="14">
        <v>0</v>
      </c>
      <c r="N23" s="725">
        <v>2.0299999999999998</v>
      </c>
      <c r="O23" s="440">
        <f t="shared" si="1"/>
        <v>0</v>
      </c>
      <c r="P23" s="325">
        <v>0</v>
      </c>
      <c r="Q23" s="325">
        <v>0</v>
      </c>
      <c r="R23" s="325">
        <v>0</v>
      </c>
      <c r="S23" s="325">
        <v>0</v>
      </c>
      <c r="T23" s="325">
        <v>0</v>
      </c>
      <c r="U23" s="492">
        <f t="shared" si="11"/>
        <v>0</v>
      </c>
      <c r="V23" s="325">
        <v>0</v>
      </c>
      <c r="W23" s="325">
        <v>0</v>
      </c>
      <c r="X23" s="325">
        <v>0</v>
      </c>
      <c r="Y23" s="492">
        <f t="shared" si="12"/>
        <v>0</v>
      </c>
      <c r="Z23" s="492">
        <f t="shared" si="13"/>
        <v>0</v>
      </c>
      <c r="AA23" s="494">
        <f t="shared" si="14"/>
        <v>0</v>
      </c>
      <c r="AB23" s="55">
        <f t="shared" si="15"/>
        <v>0</v>
      </c>
      <c r="AC23" s="14">
        <v>0</v>
      </c>
      <c r="AD23" s="622">
        <f t="shared" si="5"/>
        <v>0</v>
      </c>
      <c r="AE23" s="715">
        <v>0</v>
      </c>
      <c r="AF23" s="326">
        <v>0</v>
      </c>
      <c r="AG23" s="326">
        <v>0</v>
      </c>
      <c r="AH23" s="326">
        <v>0</v>
      </c>
      <c r="AI23" s="326">
        <v>0</v>
      </c>
      <c r="AJ23" s="326">
        <v>0</v>
      </c>
      <c r="AK23" s="626">
        <f t="shared" si="16"/>
        <v>0</v>
      </c>
      <c r="AL23" s="696">
        <f t="shared" si="17"/>
        <v>1620584</v>
      </c>
      <c r="AM23" s="492">
        <f t="shared" si="18"/>
        <v>1202214</v>
      </c>
      <c r="AN23" s="492">
        <f t="shared" si="19"/>
        <v>0</v>
      </c>
      <c r="AO23" s="492">
        <f t="shared" si="20"/>
        <v>406348</v>
      </c>
      <c r="AP23" s="492">
        <f t="shared" si="20"/>
        <v>12022</v>
      </c>
      <c r="AQ23" s="578">
        <f t="shared" si="7"/>
        <v>0</v>
      </c>
      <c r="AR23" s="626">
        <f t="shared" si="21"/>
        <v>2.0299999999999998</v>
      </c>
    </row>
    <row r="24" spans="1:44" s="67" customFormat="1" ht="14.1" customHeight="1" x14ac:dyDescent="0.2">
      <c r="A24" s="89">
        <v>2</v>
      </c>
      <c r="B24" s="68">
        <v>2448</v>
      </c>
      <c r="C24" s="69">
        <v>600080269</v>
      </c>
      <c r="D24" s="68">
        <v>63154617</v>
      </c>
      <c r="E24" s="68" t="s">
        <v>686</v>
      </c>
      <c r="F24" s="70"/>
      <c r="G24" s="71"/>
      <c r="H24" s="72"/>
      <c r="I24" s="587">
        <f t="shared" ref="I24:N24" si="29">SUM(I17:I23)</f>
        <v>93822084</v>
      </c>
      <c r="J24" s="334">
        <f t="shared" si="29"/>
        <v>69600953</v>
      </c>
      <c r="K24" s="334">
        <f t="shared" si="29"/>
        <v>23525122</v>
      </c>
      <c r="L24" s="334">
        <f t="shared" si="29"/>
        <v>696009</v>
      </c>
      <c r="M24" s="334">
        <f t="shared" si="29"/>
        <v>0</v>
      </c>
      <c r="N24" s="74">
        <f t="shared" si="29"/>
        <v>99.873000000000005</v>
      </c>
      <c r="O24" s="719">
        <f t="shared" ref="O24:Y24" si="30">SUM(O17:O23)</f>
        <v>-180000</v>
      </c>
      <c r="P24" s="334">
        <f t="shared" si="30"/>
        <v>8225530</v>
      </c>
      <c r="Q24" s="334">
        <f t="shared" si="30"/>
        <v>0</v>
      </c>
      <c r="R24" s="334">
        <f t="shared" si="30"/>
        <v>0</v>
      </c>
      <c r="S24" s="334">
        <f t="shared" si="30"/>
        <v>0</v>
      </c>
      <c r="T24" s="334">
        <f t="shared" si="30"/>
        <v>0</v>
      </c>
      <c r="U24" s="334">
        <f t="shared" si="30"/>
        <v>8045530</v>
      </c>
      <c r="V24" s="334">
        <f t="shared" si="30"/>
        <v>180000</v>
      </c>
      <c r="W24" s="334">
        <f t="shared" si="30"/>
        <v>0</v>
      </c>
      <c r="X24" s="334">
        <f t="shared" si="30"/>
        <v>0</v>
      </c>
      <c r="Y24" s="334">
        <f t="shared" si="30"/>
        <v>180000</v>
      </c>
      <c r="Z24" s="334">
        <f t="shared" ref="Z24:AR24" si="31">SUM(Z17:Z23)</f>
        <v>8225530</v>
      </c>
      <c r="AA24" s="334">
        <f t="shared" si="31"/>
        <v>2780229</v>
      </c>
      <c r="AB24" s="334">
        <f t="shared" si="31"/>
        <v>80455</v>
      </c>
      <c r="AC24" s="334">
        <f t="shared" si="31"/>
        <v>0</v>
      </c>
      <c r="AD24" s="712">
        <f t="shared" si="31"/>
        <v>11086214</v>
      </c>
      <c r="AE24" s="716">
        <f t="shared" si="31"/>
        <v>-0.05</v>
      </c>
      <c r="AF24" s="335">
        <f t="shared" si="31"/>
        <v>20.450000000000003</v>
      </c>
      <c r="AG24" s="335">
        <f t="shared" si="31"/>
        <v>0</v>
      </c>
      <c r="AH24" s="335">
        <f t="shared" si="31"/>
        <v>0</v>
      </c>
      <c r="AI24" s="335">
        <f t="shared" si="31"/>
        <v>0</v>
      </c>
      <c r="AJ24" s="335">
        <f t="shared" si="31"/>
        <v>0</v>
      </c>
      <c r="AK24" s="74">
        <f t="shared" si="31"/>
        <v>20.400000000000002</v>
      </c>
      <c r="AL24" s="589">
        <f t="shared" si="31"/>
        <v>104908298</v>
      </c>
      <c r="AM24" s="557">
        <f t="shared" si="31"/>
        <v>77646483</v>
      </c>
      <c r="AN24" s="557">
        <f t="shared" si="31"/>
        <v>180000</v>
      </c>
      <c r="AO24" s="557">
        <f t="shared" si="31"/>
        <v>26305351</v>
      </c>
      <c r="AP24" s="557">
        <f t="shared" si="31"/>
        <v>776464</v>
      </c>
      <c r="AQ24" s="557">
        <f t="shared" si="31"/>
        <v>0</v>
      </c>
      <c r="AR24" s="590">
        <f t="shared" si="31"/>
        <v>120.27300000000001</v>
      </c>
    </row>
    <row r="25" spans="1:44" s="67" customFormat="1" ht="14.1" customHeight="1" x14ac:dyDescent="0.2">
      <c r="A25" s="88">
        <v>3</v>
      </c>
      <c r="B25" s="73">
        <v>2450</v>
      </c>
      <c r="C25" s="64">
        <v>600080234</v>
      </c>
      <c r="D25" s="56">
        <v>72745045</v>
      </c>
      <c r="E25" s="56" t="s">
        <v>687</v>
      </c>
      <c r="F25" s="65">
        <v>3111</v>
      </c>
      <c r="G25" s="56" t="s">
        <v>277</v>
      </c>
      <c r="H25" s="66" t="s">
        <v>262</v>
      </c>
      <c r="I25" s="586">
        <f t="shared" si="0"/>
        <v>1245852</v>
      </c>
      <c r="J25" s="14">
        <v>924223</v>
      </c>
      <c r="K25" s="14">
        <v>312387</v>
      </c>
      <c r="L25" s="14">
        <v>9242</v>
      </c>
      <c r="M25" s="14">
        <v>0</v>
      </c>
      <c r="N25" s="651">
        <v>1.706</v>
      </c>
      <c r="O25" s="440">
        <f t="shared" si="1"/>
        <v>-54000</v>
      </c>
      <c r="P25" s="325">
        <v>0</v>
      </c>
      <c r="Q25" s="325">
        <v>0</v>
      </c>
      <c r="R25" s="325">
        <v>0</v>
      </c>
      <c r="S25" s="325">
        <v>0</v>
      </c>
      <c r="T25" s="325">
        <v>0</v>
      </c>
      <c r="U25" s="492">
        <f>O25+P25+Q25+R25+S25+T25</f>
        <v>-54000</v>
      </c>
      <c r="V25" s="325">
        <v>54000</v>
      </c>
      <c r="W25" s="325">
        <v>0</v>
      </c>
      <c r="X25" s="325">
        <v>0</v>
      </c>
      <c r="Y25" s="492">
        <f t="shared" ref="Y25:Y28" si="32">V25+W25+X25</f>
        <v>54000</v>
      </c>
      <c r="Z25" s="492">
        <f t="shared" ref="Z25:Z28" si="33">U25+Y25</f>
        <v>0</v>
      </c>
      <c r="AA25" s="494">
        <f t="shared" ref="AA25:AA28" si="34">ROUND((U25+Y25)*33.8%,0)</f>
        <v>0</v>
      </c>
      <c r="AB25" s="55">
        <f>ROUND(U25*1%,0)</f>
        <v>-540</v>
      </c>
      <c r="AC25" s="14">
        <v>0</v>
      </c>
      <c r="AD25" s="622">
        <f t="shared" si="5"/>
        <v>-540</v>
      </c>
      <c r="AE25" s="715">
        <v>0</v>
      </c>
      <c r="AF25" s="326">
        <v>0</v>
      </c>
      <c r="AG25" s="326">
        <v>0</v>
      </c>
      <c r="AH25" s="326">
        <v>0</v>
      </c>
      <c r="AI25" s="326">
        <v>0</v>
      </c>
      <c r="AJ25" s="326">
        <v>0</v>
      </c>
      <c r="AK25" s="626">
        <f>SUM(AE25:AJ25)</f>
        <v>0</v>
      </c>
      <c r="AL25" s="696">
        <f>I25+AD25</f>
        <v>1245312</v>
      </c>
      <c r="AM25" s="492">
        <f>J25+U25</f>
        <v>870223</v>
      </c>
      <c r="AN25" s="492">
        <f>Y25</f>
        <v>54000</v>
      </c>
      <c r="AO25" s="492">
        <f t="shared" ref="AO25:AP28" si="35">K25+AA25</f>
        <v>312387</v>
      </c>
      <c r="AP25" s="492">
        <f t="shared" si="35"/>
        <v>8702</v>
      </c>
      <c r="AQ25" s="578">
        <f t="shared" si="7"/>
        <v>0</v>
      </c>
      <c r="AR25" s="626">
        <f>N25+AK25</f>
        <v>1.706</v>
      </c>
    </row>
    <row r="26" spans="1:44" s="67" customFormat="1" ht="14.1" customHeight="1" x14ac:dyDescent="0.2">
      <c r="A26" s="88">
        <v>3</v>
      </c>
      <c r="B26" s="75">
        <v>2450</v>
      </c>
      <c r="C26" s="64">
        <v>600080234</v>
      </c>
      <c r="D26" s="56">
        <v>72745045</v>
      </c>
      <c r="E26" s="75" t="s">
        <v>687</v>
      </c>
      <c r="F26" s="76">
        <v>3117</v>
      </c>
      <c r="G26" s="75" t="s">
        <v>294</v>
      </c>
      <c r="H26" s="66" t="s">
        <v>262</v>
      </c>
      <c r="I26" s="586">
        <f t="shared" si="0"/>
        <v>2068940</v>
      </c>
      <c r="J26" s="14">
        <v>1534821</v>
      </c>
      <c r="K26" s="14">
        <v>518770</v>
      </c>
      <c r="L26" s="14">
        <v>15349</v>
      </c>
      <c r="M26" s="14">
        <v>0</v>
      </c>
      <c r="N26" s="651">
        <v>2.4805999999999999</v>
      </c>
      <c r="O26" s="440">
        <f t="shared" si="1"/>
        <v>0</v>
      </c>
      <c r="P26" s="325">
        <v>0</v>
      </c>
      <c r="Q26" s="325">
        <v>0</v>
      </c>
      <c r="R26" s="325">
        <v>0</v>
      </c>
      <c r="S26" s="325">
        <v>0</v>
      </c>
      <c r="T26" s="325">
        <v>0</v>
      </c>
      <c r="U26" s="492">
        <f>O26+P26+Q26+R26+S26+T26</f>
        <v>0</v>
      </c>
      <c r="V26" s="325">
        <v>0</v>
      </c>
      <c r="W26" s="325">
        <v>0</v>
      </c>
      <c r="X26" s="325">
        <v>0</v>
      </c>
      <c r="Y26" s="492">
        <f t="shared" si="32"/>
        <v>0</v>
      </c>
      <c r="Z26" s="492">
        <f t="shared" si="33"/>
        <v>0</v>
      </c>
      <c r="AA26" s="494">
        <f t="shared" si="34"/>
        <v>0</v>
      </c>
      <c r="AB26" s="55">
        <f>ROUND(U26*1%,0)</f>
        <v>0</v>
      </c>
      <c r="AC26" s="14">
        <v>0</v>
      </c>
      <c r="AD26" s="622">
        <f t="shared" si="5"/>
        <v>0</v>
      </c>
      <c r="AE26" s="715">
        <v>0</v>
      </c>
      <c r="AF26" s="326">
        <v>0</v>
      </c>
      <c r="AG26" s="326">
        <v>0</v>
      </c>
      <c r="AH26" s="326">
        <v>0</v>
      </c>
      <c r="AI26" s="326">
        <v>0</v>
      </c>
      <c r="AJ26" s="326">
        <v>0</v>
      </c>
      <c r="AK26" s="626">
        <f>SUM(AE26:AJ26)</f>
        <v>0</v>
      </c>
      <c r="AL26" s="696">
        <f>I26+AD26</f>
        <v>2068940</v>
      </c>
      <c r="AM26" s="492">
        <f>J26+U26</f>
        <v>1534821</v>
      </c>
      <c r="AN26" s="492">
        <f>Y26</f>
        <v>0</v>
      </c>
      <c r="AO26" s="492">
        <f t="shared" si="35"/>
        <v>518770</v>
      </c>
      <c r="AP26" s="492">
        <f t="shared" si="35"/>
        <v>15349</v>
      </c>
      <c r="AQ26" s="578">
        <f t="shared" si="7"/>
        <v>0</v>
      </c>
      <c r="AR26" s="626">
        <f>N26+AK26</f>
        <v>2.4805999999999999</v>
      </c>
    </row>
    <row r="27" spans="1:44" s="67" customFormat="1" ht="14.1" customHeight="1" x14ac:dyDescent="0.2">
      <c r="A27" s="88">
        <v>3</v>
      </c>
      <c r="B27" s="73">
        <v>2450</v>
      </c>
      <c r="C27" s="64">
        <v>600080234</v>
      </c>
      <c r="D27" s="56">
        <v>72745045</v>
      </c>
      <c r="E27" s="73" t="s">
        <v>687</v>
      </c>
      <c r="F27" s="65">
        <v>3117</v>
      </c>
      <c r="G27" s="56" t="s">
        <v>278</v>
      </c>
      <c r="H27" s="66" t="s">
        <v>263</v>
      </c>
      <c r="I27" s="586">
        <f t="shared" si="0"/>
        <v>0</v>
      </c>
      <c r="J27" s="423">
        <v>0</v>
      </c>
      <c r="K27" s="14">
        <v>0</v>
      </c>
      <c r="L27" s="14">
        <v>0</v>
      </c>
      <c r="M27" s="14">
        <v>0</v>
      </c>
      <c r="N27" s="725">
        <v>0</v>
      </c>
      <c r="O27" s="440">
        <f t="shared" si="1"/>
        <v>0</v>
      </c>
      <c r="P27" s="423">
        <v>665386</v>
      </c>
      <c r="Q27" s="325">
        <v>0</v>
      </c>
      <c r="R27" s="325">
        <v>0</v>
      </c>
      <c r="S27" s="325">
        <v>0</v>
      </c>
      <c r="T27" s="325">
        <v>0</v>
      </c>
      <c r="U27" s="492">
        <f>O27+P27+Q27+R27+S27+T27</f>
        <v>665386</v>
      </c>
      <c r="V27" s="325">
        <v>0</v>
      </c>
      <c r="W27" s="325">
        <v>0</v>
      </c>
      <c r="X27" s="325">
        <v>0</v>
      </c>
      <c r="Y27" s="492">
        <f t="shared" si="32"/>
        <v>0</v>
      </c>
      <c r="Z27" s="492">
        <f t="shared" si="33"/>
        <v>665386</v>
      </c>
      <c r="AA27" s="494">
        <f t="shared" si="34"/>
        <v>224900</v>
      </c>
      <c r="AB27" s="55">
        <f>ROUND(U27*1%,0)</f>
        <v>6654</v>
      </c>
      <c r="AC27" s="14">
        <v>0</v>
      </c>
      <c r="AD27" s="622">
        <f t="shared" si="5"/>
        <v>896940</v>
      </c>
      <c r="AE27" s="715">
        <v>0</v>
      </c>
      <c r="AF27" s="729">
        <v>1.79</v>
      </c>
      <c r="AG27" s="326">
        <v>0</v>
      </c>
      <c r="AH27" s="326">
        <v>0</v>
      </c>
      <c r="AI27" s="326">
        <v>0</v>
      </c>
      <c r="AJ27" s="326">
        <v>0</v>
      </c>
      <c r="AK27" s="626">
        <f>SUM(AE27:AJ27)</f>
        <v>1.79</v>
      </c>
      <c r="AL27" s="696">
        <f>I27+AD27</f>
        <v>896940</v>
      </c>
      <c r="AM27" s="492">
        <f>J27+U27</f>
        <v>665386</v>
      </c>
      <c r="AN27" s="492">
        <f>Y27</f>
        <v>0</v>
      </c>
      <c r="AO27" s="492">
        <f t="shared" si="35"/>
        <v>224900</v>
      </c>
      <c r="AP27" s="492">
        <f t="shared" si="35"/>
        <v>6654</v>
      </c>
      <c r="AQ27" s="578">
        <f t="shared" si="7"/>
        <v>0</v>
      </c>
      <c r="AR27" s="626">
        <f>N27+AK27</f>
        <v>1.79</v>
      </c>
    </row>
    <row r="28" spans="1:44" s="67" customFormat="1" ht="14.1" customHeight="1" x14ac:dyDescent="0.2">
      <c r="A28" s="88">
        <v>3</v>
      </c>
      <c r="B28" s="56">
        <v>2450</v>
      </c>
      <c r="C28" s="64">
        <v>600080234</v>
      </c>
      <c r="D28" s="56">
        <v>72745045</v>
      </c>
      <c r="E28" s="56" t="s">
        <v>687</v>
      </c>
      <c r="F28" s="65">
        <v>3143</v>
      </c>
      <c r="G28" s="56" t="s">
        <v>794</v>
      </c>
      <c r="H28" s="66" t="s">
        <v>262</v>
      </c>
      <c r="I28" s="586">
        <f t="shared" si="0"/>
        <v>676465</v>
      </c>
      <c r="J28" s="14">
        <v>501829</v>
      </c>
      <c r="K28" s="14">
        <v>169618</v>
      </c>
      <c r="L28" s="14">
        <v>5018</v>
      </c>
      <c r="M28" s="14">
        <v>0</v>
      </c>
      <c r="N28" s="651">
        <v>1</v>
      </c>
      <c r="O28" s="440">
        <f t="shared" si="1"/>
        <v>-6000</v>
      </c>
      <c r="P28" s="325">
        <v>0</v>
      </c>
      <c r="Q28" s="325">
        <v>0</v>
      </c>
      <c r="R28" s="325">
        <v>0</v>
      </c>
      <c r="S28" s="325">
        <v>0</v>
      </c>
      <c r="T28" s="325">
        <v>0</v>
      </c>
      <c r="U28" s="492">
        <f>O28+P28+Q28+R28+S28+T28</f>
        <v>-6000</v>
      </c>
      <c r="V28" s="325">
        <v>6000</v>
      </c>
      <c r="W28" s="325">
        <v>0</v>
      </c>
      <c r="X28" s="325">
        <v>0</v>
      </c>
      <c r="Y28" s="492">
        <f t="shared" si="32"/>
        <v>6000</v>
      </c>
      <c r="Z28" s="492">
        <f t="shared" si="33"/>
        <v>0</v>
      </c>
      <c r="AA28" s="494">
        <f t="shared" si="34"/>
        <v>0</v>
      </c>
      <c r="AB28" s="55">
        <f>ROUND(U28*1%,0)</f>
        <v>-60</v>
      </c>
      <c r="AC28" s="14">
        <v>0</v>
      </c>
      <c r="AD28" s="622">
        <f t="shared" si="5"/>
        <v>-60</v>
      </c>
      <c r="AE28" s="715">
        <v>0</v>
      </c>
      <c r="AF28" s="326">
        <v>0</v>
      </c>
      <c r="AG28" s="326">
        <v>0</v>
      </c>
      <c r="AH28" s="326">
        <v>0</v>
      </c>
      <c r="AI28" s="326">
        <v>0</v>
      </c>
      <c r="AJ28" s="326">
        <v>0</v>
      </c>
      <c r="AK28" s="626">
        <f>SUM(AE28:AJ28)</f>
        <v>0</v>
      </c>
      <c r="AL28" s="696">
        <f>I28+AD28</f>
        <v>676405</v>
      </c>
      <c r="AM28" s="492">
        <f>J28+U28</f>
        <v>495829</v>
      </c>
      <c r="AN28" s="492">
        <f>Y28</f>
        <v>6000</v>
      </c>
      <c r="AO28" s="492">
        <f t="shared" si="35"/>
        <v>169618</v>
      </c>
      <c r="AP28" s="492">
        <f t="shared" si="35"/>
        <v>4958</v>
      </c>
      <c r="AQ28" s="578">
        <f t="shared" si="7"/>
        <v>0</v>
      </c>
      <c r="AR28" s="626">
        <f>N28+AK28</f>
        <v>1</v>
      </c>
    </row>
    <row r="29" spans="1:44" s="67" customFormat="1" ht="14.1" customHeight="1" x14ac:dyDescent="0.2">
      <c r="A29" s="89">
        <v>3</v>
      </c>
      <c r="B29" s="68">
        <v>2450</v>
      </c>
      <c r="C29" s="69">
        <v>600080234</v>
      </c>
      <c r="D29" s="68">
        <v>72745045</v>
      </c>
      <c r="E29" s="68" t="s">
        <v>688</v>
      </c>
      <c r="F29" s="77"/>
      <c r="G29" s="71"/>
      <c r="H29" s="72"/>
      <c r="I29" s="587">
        <f t="shared" ref="I29:N29" si="36">SUM(I25:I28)</f>
        <v>3991257</v>
      </c>
      <c r="J29" s="334">
        <f t="shared" si="36"/>
        <v>2960873</v>
      </c>
      <c r="K29" s="334">
        <f t="shared" si="36"/>
        <v>1000775</v>
      </c>
      <c r="L29" s="334">
        <f t="shared" si="36"/>
        <v>29609</v>
      </c>
      <c r="M29" s="334">
        <f t="shared" si="36"/>
        <v>0</v>
      </c>
      <c r="N29" s="74">
        <f t="shared" si="36"/>
        <v>5.1866000000000003</v>
      </c>
      <c r="O29" s="719">
        <f t="shared" ref="O29:Y29" si="37">SUM(O25:O28)</f>
        <v>-60000</v>
      </c>
      <c r="P29" s="334">
        <f t="shared" si="37"/>
        <v>665386</v>
      </c>
      <c r="Q29" s="334">
        <f t="shared" si="37"/>
        <v>0</v>
      </c>
      <c r="R29" s="334">
        <f t="shared" si="37"/>
        <v>0</v>
      </c>
      <c r="S29" s="334">
        <f t="shared" si="37"/>
        <v>0</v>
      </c>
      <c r="T29" s="334">
        <f t="shared" si="37"/>
        <v>0</v>
      </c>
      <c r="U29" s="334">
        <f t="shared" si="37"/>
        <v>605386</v>
      </c>
      <c r="V29" s="334">
        <f t="shared" si="37"/>
        <v>60000</v>
      </c>
      <c r="W29" s="334">
        <f t="shared" si="37"/>
        <v>0</v>
      </c>
      <c r="X29" s="334">
        <f t="shared" si="37"/>
        <v>0</v>
      </c>
      <c r="Y29" s="334">
        <f t="shared" si="37"/>
        <v>60000</v>
      </c>
      <c r="Z29" s="334">
        <f t="shared" ref="Z29:AR29" si="38">SUM(Z25:Z28)</f>
        <v>665386</v>
      </c>
      <c r="AA29" s="334">
        <f t="shared" si="38"/>
        <v>224900</v>
      </c>
      <c r="AB29" s="334">
        <f t="shared" si="38"/>
        <v>6054</v>
      </c>
      <c r="AC29" s="334">
        <f t="shared" si="38"/>
        <v>0</v>
      </c>
      <c r="AD29" s="712">
        <f t="shared" si="38"/>
        <v>896340</v>
      </c>
      <c r="AE29" s="716">
        <f t="shared" si="38"/>
        <v>0</v>
      </c>
      <c r="AF29" s="335">
        <f t="shared" si="38"/>
        <v>1.79</v>
      </c>
      <c r="AG29" s="335">
        <f t="shared" si="38"/>
        <v>0</v>
      </c>
      <c r="AH29" s="335">
        <f t="shared" si="38"/>
        <v>0</v>
      </c>
      <c r="AI29" s="335">
        <f t="shared" si="38"/>
        <v>0</v>
      </c>
      <c r="AJ29" s="335">
        <f t="shared" si="38"/>
        <v>0</v>
      </c>
      <c r="AK29" s="74">
        <f t="shared" si="38"/>
        <v>1.79</v>
      </c>
      <c r="AL29" s="589">
        <f t="shared" si="38"/>
        <v>4887597</v>
      </c>
      <c r="AM29" s="557">
        <f t="shared" si="38"/>
        <v>3566259</v>
      </c>
      <c r="AN29" s="557">
        <f t="shared" si="38"/>
        <v>60000</v>
      </c>
      <c r="AO29" s="557">
        <f t="shared" si="38"/>
        <v>1225675</v>
      </c>
      <c r="AP29" s="557">
        <f t="shared" si="38"/>
        <v>35663</v>
      </c>
      <c r="AQ29" s="557">
        <f t="shared" si="38"/>
        <v>0</v>
      </c>
      <c r="AR29" s="590">
        <f t="shared" si="38"/>
        <v>6.9766000000000004</v>
      </c>
    </row>
    <row r="30" spans="1:44" s="67" customFormat="1" ht="14.1" customHeight="1" x14ac:dyDescent="0.2">
      <c r="A30" s="88">
        <v>4</v>
      </c>
      <c r="B30" s="73">
        <v>2451</v>
      </c>
      <c r="C30" s="64">
        <v>650037901</v>
      </c>
      <c r="D30" s="56">
        <v>72744880</v>
      </c>
      <c r="E30" s="56" t="s">
        <v>689</v>
      </c>
      <c r="F30" s="65">
        <v>3111</v>
      </c>
      <c r="G30" s="56" t="s">
        <v>277</v>
      </c>
      <c r="H30" s="66" t="s">
        <v>262</v>
      </c>
      <c r="I30" s="586">
        <f t="shared" si="0"/>
        <v>1553262</v>
      </c>
      <c r="J30" s="14">
        <v>1152271</v>
      </c>
      <c r="K30" s="14">
        <v>389468</v>
      </c>
      <c r="L30" s="14">
        <v>11523</v>
      </c>
      <c r="M30" s="14">
        <v>0</v>
      </c>
      <c r="N30" s="651">
        <v>2</v>
      </c>
      <c r="O30" s="440">
        <f t="shared" si="1"/>
        <v>0</v>
      </c>
      <c r="P30" s="325">
        <v>0</v>
      </c>
      <c r="Q30" s="325">
        <v>0</v>
      </c>
      <c r="R30" s="325">
        <v>0</v>
      </c>
      <c r="S30" s="325">
        <v>0</v>
      </c>
      <c r="T30" s="325">
        <v>0</v>
      </c>
      <c r="U30" s="492">
        <f>O30+P30+Q30+R30+S30+T30</f>
        <v>0</v>
      </c>
      <c r="V30" s="325">
        <v>0</v>
      </c>
      <c r="W30" s="325">
        <v>0</v>
      </c>
      <c r="X30" s="325">
        <v>0</v>
      </c>
      <c r="Y30" s="492">
        <f t="shared" ref="Y30:Y33" si="39">V30+W30+X30</f>
        <v>0</v>
      </c>
      <c r="Z30" s="492">
        <f t="shared" ref="Z30:Z33" si="40">U30+Y30</f>
        <v>0</v>
      </c>
      <c r="AA30" s="494">
        <f t="shared" ref="AA30:AA33" si="41">ROUND((U30+Y30)*33.8%,0)</f>
        <v>0</v>
      </c>
      <c r="AB30" s="55">
        <f>ROUND(U30*1%,0)</f>
        <v>0</v>
      </c>
      <c r="AC30" s="14">
        <v>0</v>
      </c>
      <c r="AD30" s="622">
        <f t="shared" si="5"/>
        <v>0</v>
      </c>
      <c r="AE30" s="715">
        <v>0</v>
      </c>
      <c r="AF30" s="326">
        <v>0</v>
      </c>
      <c r="AG30" s="326">
        <v>0</v>
      </c>
      <c r="AH30" s="326">
        <v>0</v>
      </c>
      <c r="AI30" s="326">
        <v>0</v>
      </c>
      <c r="AJ30" s="326">
        <v>0</v>
      </c>
      <c r="AK30" s="626">
        <f>SUM(AE30:AJ30)</f>
        <v>0</v>
      </c>
      <c r="AL30" s="696">
        <f>I30+AD30</f>
        <v>1553262</v>
      </c>
      <c r="AM30" s="492">
        <f>J30+U30</f>
        <v>1152271</v>
      </c>
      <c r="AN30" s="492">
        <f>Y30</f>
        <v>0</v>
      </c>
      <c r="AO30" s="492">
        <f t="shared" ref="AO30:AP33" si="42">K30+AA30</f>
        <v>389468</v>
      </c>
      <c r="AP30" s="492">
        <f t="shared" si="42"/>
        <v>11523</v>
      </c>
      <c r="AQ30" s="578">
        <f t="shared" si="7"/>
        <v>0</v>
      </c>
      <c r="AR30" s="626">
        <f>N30+AK30</f>
        <v>2</v>
      </c>
    </row>
    <row r="31" spans="1:44" s="67" customFormat="1" ht="14.1" customHeight="1" x14ac:dyDescent="0.2">
      <c r="A31" s="88">
        <v>4</v>
      </c>
      <c r="B31" s="75">
        <v>2451</v>
      </c>
      <c r="C31" s="64">
        <v>650037901</v>
      </c>
      <c r="D31" s="56">
        <v>72744880</v>
      </c>
      <c r="E31" s="75" t="s">
        <v>689</v>
      </c>
      <c r="F31" s="76">
        <v>3117</v>
      </c>
      <c r="G31" s="75" t="s">
        <v>294</v>
      </c>
      <c r="H31" s="66" t="s">
        <v>262</v>
      </c>
      <c r="I31" s="586">
        <f t="shared" si="0"/>
        <v>3704593</v>
      </c>
      <c r="J31" s="14">
        <v>2748215</v>
      </c>
      <c r="K31" s="14">
        <v>928896</v>
      </c>
      <c r="L31" s="14">
        <v>27482</v>
      </c>
      <c r="M31" s="14">
        <v>0</v>
      </c>
      <c r="N31" s="651">
        <v>4</v>
      </c>
      <c r="O31" s="440">
        <f t="shared" si="1"/>
        <v>0</v>
      </c>
      <c r="P31" s="325">
        <v>0</v>
      </c>
      <c r="Q31" s="325">
        <v>0</v>
      </c>
      <c r="R31" s="325">
        <v>0</v>
      </c>
      <c r="S31" s="325">
        <v>0</v>
      </c>
      <c r="T31" s="325">
        <v>0</v>
      </c>
      <c r="U31" s="492">
        <f>O31+P31+Q31+R31+S31+T31</f>
        <v>0</v>
      </c>
      <c r="V31" s="325">
        <v>0</v>
      </c>
      <c r="W31" s="325">
        <v>0</v>
      </c>
      <c r="X31" s="325">
        <v>0</v>
      </c>
      <c r="Y31" s="492">
        <f t="shared" si="39"/>
        <v>0</v>
      </c>
      <c r="Z31" s="492">
        <f t="shared" si="40"/>
        <v>0</v>
      </c>
      <c r="AA31" s="494">
        <f t="shared" si="41"/>
        <v>0</v>
      </c>
      <c r="AB31" s="55">
        <f>ROUND(U31*1%,0)</f>
        <v>0</v>
      </c>
      <c r="AC31" s="14">
        <v>0</v>
      </c>
      <c r="AD31" s="622">
        <f t="shared" si="5"/>
        <v>0</v>
      </c>
      <c r="AE31" s="715">
        <v>0</v>
      </c>
      <c r="AF31" s="326">
        <v>0</v>
      </c>
      <c r="AG31" s="326">
        <v>0</v>
      </c>
      <c r="AH31" s="326">
        <v>0</v>
      </c>
      <c r="AI31" s="326">
        <v>0</v>
      </c>
      <c r="AJ31" s="326">
        <v>0</v>
      </c>
      <c r="AK31" s="626">
        <f>SUM(AE31:AJ31)</f>
        <v>0</v>
      </c>
      <c r="AL31" s="696">
        <f>I31+AD31</f>
        <v>3704593</v>
      </c>
      <c r="AM31" s="492">
        <f>J31+U31</f>
        <v>2748215</v>
      </c>
      <c r="AN31" s="492">
        <f>Y31</f>
        <v>0</v>
      </c>
      <c r="AO31" s="492">
        <f t="shared" si="42"/>
        <v>928896</v>
      </c>
      <c r="AP31" s="492">
        <f t="shared" si="42"/>
        <v>27482</v>
      </c>
      <c r="AQ31" s="578">
        <f t="shared" si="7"/>
        <v>0</v>
      </c>
      <c r="AR31" s="626">
        <f>N31+AK31</f>
        <v>4</v>
      </c>
    </row>
    <row r="32" spans="1:44" s="67" customFormat="1" ht="14.1" customHeight="1" x14ac:dyDescent="0.2">
      <c r="A32" s="88">
        <v>4</v>
      </c>
      <c r="B32" s="73">
        <v>2451</v>
      </c>
      <c r="C32" s="64">
        <v>650037901</v>
      </c>
      <c r="D32" s="56">
        <v>72744880</v>
      </c>
      <c r="E32" s="73" t="s">
        <v>689</v>
      </c>
      <c r="F32" s="65">
        <v>3117</v>
      </c>
      <c r="G32" s="56" t="s">
        <v>278</v>
      </c>
      <c r="H32" s="66" t="s">
        <v>263</v>
      </c>
      <c r="I32" s="586">
        <f t="shared" si="0"/>
        <v>0</v>
      </c>
      <c r="J32" s="423">
        <v>0</v>
      </c>
      <c r="K32" s="14">
        <v>0</v>
      </c>
      <c r="L32" s="14">
        <v>0</v>
      </c>
      <c r="M32" s="14">
        <v>0</v>
      </c>
      <c r="N32" s="725">
        <v>0</v>
      </c>
      <c r="O32" s="440">
        <f t="shared" si="1"/>
        <v>0</v>
      </c>
      <c r="P32" s="423">
        <v>985877</v>
      </c>
      <c r="Q32" s="325">
        <v>0</v>
      </c>
      <c r="R32" s="325">
        <v>0</v>
      </c>
      <c r="S32" s="325">
        <v>0</v>
      </c>
      <c r="T32" s="325">
        <v>0</v>
      </c>
      <c r="U32" s="492">
        <f>O32+P32+Q32+R32+S32+T32</f>
        <v>985877</v>
      </c>
      <c r="V32" s="325">
        <v>0</v>
      </c>
      <c r="W32" s="325">
        <v>0</v>
      </c>
      <c r="X32" s="325">
        <v>0</v>
      </c>
      <c r="Y32" s="492">
        <f t="shared" si="39"/>
        <v>0</v>
      </c>
      <c r="Z32" s="492">
        <f t="shared" si="40"/>
        <v>985877</v>
      </c>
      <c r="AA32" s="494">
        <f t="shared" si="41"/>
        <v>333226</v>
      </c>
      <c r="AB32" s="55">
        <f>ROUND(U32*1%,0)</f>
        <v>9859</v>
      </c>
      <c r="AC32" s="14">
        <v>0</v>
      </c>
      <c r="AD32" s="622">
        <f t="shared" si="5"/>
        <v>1328962</v>
      </c>
      <c r="AE32" s="715">
        <v>0</v>
      </c>
      <c r="AF32" s="729">
        <v>2.2999999999999998</v>
      </c>
      <c r="AG32" s="326">
        <v>0</v>
      </c>
      <c r="AH32" s="326">
        <v>0</v>
      </c>
      <c r="AI32" s="326">
        <v>0</v>
      </c>
      <c r="AJ32" s="326">
        <v>0</v>
      </c>
      <c r="AK32" s="626">
        <f>SUM(AE32:AJ32)</f>
        <v>2.2999999999999998</v>
      </c>
      <c r="AL32" s="696">
        <f>I32+AD32</f>
        <v>1328962</v>
      </c>
      <c r="AM32" s="492">
        <f>J32+U32</f>
        <v>985877</v>
      </c>
      <c r="AN32" s="492">
        <f>Y32</f>
        <v>0</v>
      </c>
      <c r="AO32" s="492">
        <f t="shared" si="42"/>
        <v>333226</v>
      </c>
      <c r="AP32" s="492">
        <f t="shared" si="42"/>
        <v>9859</v>
      </c>
      <c r="AQ32" s="578">
        <f t="shared" si="7"/>
        <v>0</v>
      </c>
      <c r="AR32" s="626">
        <f>N32+AK32</f>
        <v>2.2999999999999998</v>
      </c>
    </row>
    <row r="33" spans="1:44" s="67" customFormat="1" ht="14.1" customHeight="1" x14ac:dyDescent="0.2">
      <c r="A33" s="88">
        <v>4</v>
      </c>
      <c r="B33" s="56">
        <v>2451</v>
      </c>
      <c r="C33" s="64">
        <v>650037901</v>
      </c>
      <c r="D33" s="56">
        <v>72744880</v>
      </c>
      <c r="E33" s="56" t="s">
        <v>689</v>
      </c>
      <c r="F33" s="65">
        <v>3143</v>
      </c>
      <c r="G33" s="56" t="s">
        <v>794</v>
      </c>
      <c r="H33" s="66" t="s">
        <v>262</v>
      </c>
      <c r="I33" s="586">
        <f t="shared" si="0"/>
        <v>690013</v>
      </c>
      <c r="J33" s="14">
        <v>511879</v>
      </c>
      <c r="K33" s="14">
        <v>173015</v>
      </c>
      <c r="L33" s="14">
        <v>5119</v>
      </c>
      <c r="M33" s="14">
        <v>0</v>
      </c>
      <c r="N33" s="651">
        <v>1</v>
      </c>
      <c r="O33" s="440">
        <f t="shared" si="1"/>
        <v>0</v>
      </c>
      <c r="P33" s="325">
        <v>0</v>
      </c>
      <c r="Q33" s="325">
        <v>0</v>
      </c>
      <c r="R33" s="325">
        <v>0</v>
      </c>
      <c r="S33" s="325">
        <v>0</v>
      </c>
      <c r="T33" s="325">
        <v>0</v>
      </c>
      <c r="U33" s="492">
        <f>O33+P33+Q33+R33+S33+T33</f>
        <v>0</v>
      </c>
      <c r="V33" s="325">
        <v>0</v>
      </c>
      <c r="W33" s="325">
        <v>0</v>
      </c>
      <c r="X33" s="325">
        <v>0</v>
      </c>
      <c r="Y33" s="492">
        <f t="shared" si="39"/>
        <v>0</v>
      </c>
      <c r="Z33" s="492">
        <f t="shared" si="40"/>
        <v>0</v>
      </c>
      <c r="AA33" s="494">
        <f t="shared" si="41"/>
        <v>0</v>
      </c>
      <c r="AB33" s="55">
        <f>ROUND(U33*1%,0)</f>
        <v>0</v>
      </c>
      <c r="AC33" s="14">
        <v>0</v>
      </c>
      <c r="AD33" s="622">
        <f t="shared" si="5"/>
        <v>0</v>
      </c>
      <c r="AE33" s="715">
        <v>0</v>
      </c>
      <c r="AF33" s="326">
        <v>0</v>
      </c>
      <c r="AG33" s="326">
        <v>0</v>
      </c>
      <c r="AH33" s="326">
        <v>0</v>
      </c>
      <c r="AI33" s="326">
        <v>0</v>
      </c>
      <c r="AJ33" s="326">
        <v>0</v>
      </c>
      <c r="AK33" s="626">
        <f>SUM(AE33:AJ33)</f>
        <v>0</v>
      </c>
      <c r="AL33" s="696">
        <f>I33+AD33</f>
        <v>690013</v>
      </c>
      <c r="AM33" s="492">
        <f>J33+U33</f>
        <v>511879</v>
      </c>
      <c r="AN33" s="492">
        <f>Y33</f>
        <v>0</v>
      </c>
      <c r="AO33" s="492">
        <f t="shared" si="42"/>
        <v>173015</v>
      </c>
      <c r="AP33" s="492">
        <f t="shared" si="42"/>
        <v>5119</v>
      </c>
      <c r="AQ33" s="578">
        <f t="shared" si="7"/>
        <v>0</v>
      </c>
      <c r="AR33" s="626">
        <f>N33+AK33</f>
        <v>1</v>
      </c>
    </row>
    <row r="34" spans="1:44" s="67" customFormat="1" ht="14.1" customHeight="1" x14ac:dyDescent="0.2">
      <c r="A34" s="89">
        <v>4</v>
      </c>
      <c r="B34" s="68">
        <v>2451</v>
      </c>
      <c r="C34" s="69">
        <v>650037901</v>
      </c>
      <c r="D34" s="68">
        <v>72744880</v>
      </c>
      <c r="E34" s="68" t="s">
        <v>690</v>
      </c>
      <c r="F34" s="77"/>
      <c r="G34" s="71"/>
      <c r="H34" s="72"/>
      <c r="I34" s="587">
        <f t="shared" ref="I34:N34" si="43">SUM(I30:I33)</f>
        <v>5947868</v>
      </c>
      <c r="J34" s="334">
        <f t="shared" si="43"/>
        <v>4412365</v>
      </c>
      <c r="K34" s="334">
        <f t="shared" si="43"/>
        <v>1491379</v>
      </c>
      <c r="L34" s="334">
        <f t="shared" si="43"/>
        <v>44124</v>
      </c>
      <c r="M34" s="334">
        <f t="shared" si="43"/>
        <v>0</v>
      </c>
      <c r="N34" s="74">
        <f t="shared" si="43"/>
        <v>7</v>
      </c>
      <c r="O34" s="719">
        <f t="shared" ref="O34:Y34" si="44">SUM(O30:O33)</f>
        <v>0</v>
      </c>
      <c r="P34" s="334">
        <f t="shared" si="44"/>
        <v>985877</v>
      </c>
      <c r="Q34" s="334">
        <f t="shared" si="44"/>
        <v>0</v>
      </c>
      <c r="R34" s="334">
        <f t="shared" si="44"/>
        <v>0</v>
      </c>
      <c r="S34" s="334">
        <f t="shared" si="44"/>
        <v>0</v>
      </c>
      <c r="T34" s="334">
        <f t="shared" si="44"/>
        <v>0</v>
      </c>
      <c r="U34" s="334">
        <f t="shared" si="44"/>
        <v>985877</v>
      </c>
      <c r="V34" s="334">
        <f t="shared" si="44"/>
        <v>0</v>
      </c>
      <c r="W34" s="334">
        <f t="shared" si="44"/>
        <v>0</v>
      </c>
      <c r="X34" s="334">
        <f t="shared" si="44"/>
        <v>0</v>
      </c>
      <c r="Y34" s="334">
        <f t="shared" si="44"/>
        <v>0</v>
      </c>
      <c r="Z34" s="334">
        <f t="shared" ref="Z34:AR34" si="45">SUM(Z30:Z33)</f>
        <v>985877</v>
      </c>
      <c r="AA34" s="334">
        <f t="shared" si="45"/>
        <v>333226</v>
      </c>
      <c r="AB34" s="334">
        <f t="shared" si="45"/>
        <v>9859</v>
      </c>
      <c r="AC34" s="334">
        <f t="shared" si="45"/>
        <v>0</v>
      </c>
      <c r="AD34" s="712">
        <f t="shared" si="45"/>
        <v>1328962</v>
      </c>
      <c r="AE34" s="716">
        <f t="shared" si="45"/>
        <v>0</v>
      </c>
      <c r="AF34" s="335">
        <f t="shared" si="45"/>
        <v>2.2999999999999998</v>
      </c>
      <c r="AG34" s="335">
        <f t="shared" si="45"/>
        <v>0</v>
      </c>
      <c r="AH34" s="335">
        <f t="shared" si="45"/>
        <v>0</v>
      </c>
      <c r="AI34" s="335">
        <f t="shared" si="45"/>
        <v>0</v>
      </c>
      <c r="AJ34" s="335">
        <f t="shared" si="45"/>
        <v>0</v>
      </c>
      <c r="AK34" s="74">
        <f t="shared" si="45"/>
        <v>2.2999999999999998</v>
      </c>
      <c r="AL34" s="589">
        <f t="shared" si="45"/>
        <v>7276830</v>
      </c>
      <c r="AM34" s="557">
        <f t="shared" si="45"/>
        <v>5398242</v>
      </c>
      <c r="AN34" s="557">
        <f t="shared" si="45"/>
        <v>0</v>
      </c>
      <c r="AO34" s="557">
        <f t="shared" si="45"/>
        <v>1824605</v>
      </c>
      <c r="AP34" s="557">
        <f t="shared" si="45"/>
        <v>53983</v>
      </c>
      <c r="AQ34" s="557">
        <f t="shared" si="45"/>
        <v>0</v>
      </c>
      <c r="AR34" s="590">
        <f t="shared" si="45"/>
        <v>9.3000000000000007</v>
      </c>
    </row>
    <row r="35" spans="1:44" s="67" customFormat="1" ht="14.1" customHeight="1" x14ac:dyDescent="0.2">
      <c r="A35" s="88">
        <v>5</v>
      </c>
      <c r="B35" s="73">
        <v>2453</v>
      </c>
      <c r="C35" s="64">
        <v>600079686</v>
      </c>
      <c r="D35" s="56">
        <v>72743603</v>
      </c>
      <c r="E35" s="56" t="s">
        <v>691</v>
      </c>
      <c r="F35" s="65">
        <v>3111</v>
      </c>
      <c r="G35" s="56" t="s">
        <v>277</v>
      </c>
      <c r="H35" s="66" t="s">
        <v>262</v>
      </c>
      <c r="I35" s="586">
        <f t="shared" si="0"/>
        <v>3831893</v>
      </c>
      <c r="J35" s="14">
        <v>2842650</v>
      </c>
      <c r="K35" s="14">
        <v>960816</v>
      </c>
      <c r="L35" s="14">
        <v>28427</v>
      </c>
      <c r="M35" s="14">
        <v>0</v>
      </c>
      <c r="N35" s="651">
        <v>4.5160999999999998</v>
      </c>
      <c r="O35" s="440">
        <f t="shared" si="1"/>
        <v>-13200</v>
      </c>
      <c r="P35" s="325">
        <v>0</v>
      </c>
      <c r="Q35" s="325">
        <v>0</v>
      </c>
      <c r="R35" s="325">
        <v>0</v>
      </c>
      <c r="S35" s="325">
        <v>0</v>
      </c>
      <c r="T35" s="325">
        <v>0</v>
      </c>
      <c r="U35" s="492">
        <f>O35+P35+Q35+R35+S35+T35</f>
        <v>-13200</v>
      </c>
      <c r="V35" s="325">
        <v>13200</v>
      </c>
      <c r="W35" s="325">
        <v>0</v>
      </c>
      <c r="X35" s="325">
        <v>0</v>
      </c>
      <c r="Y35" s="492">
        <f t="shared" ref="Y35:Y38" si="46">V35+W35+X35</f>
        <v>13200</v>
      </c>
      <c r="Z35" s="492">
        <f t="shared" ref="Z35:Z38" si="47">U35+Y35</f>
        <v>0</v>
      </c>
      <c r="AA35" s="494">
        <f t="shared" ref="AA35:AA38" si="48">ROUND((U35+Y35)*33.8%,0)</f>
        <v>0</v>
      </c>
      <c r="AB35" s="55">
        <f>ROUND(U35*1%,0)</f>
        <v>-132</v>
      </c>
      <c r="AC35" s="14">
        <v>0</v>
      </c>
      <c r="AD35" s="622">
        <f t="shared" si="5"/>
        <v>-132</v>
      </c>
      <c r="AE35" s="715">
        <v>-0.02</v>
      </c>
      <c r="AF35" s="326">
        <v>0</v>
      </c>
      <c r="AG35" s="326">
        <v>0</v>
      </c>
      <c r="AH35" s="326">
        <v>0</v>
      </c>
      <c r="AI35" s="326">
        <v>0</v>
      </c>
      <c r="AJ35" s="326">
        <v>0</v>
      </c>
      <c r="AK35" s="626">
        <f>SUM(AE35:AJ35)</f>
        <v>-0.02</v>
      </c>
      <c r="AL35" s="696">
        <f>I35+AD35</f>
        <v>3831761</v>
      </c>
      <c r="AM35" s="492">
        <f>J35+U35</f>
        <v>2829450</v>
      </c>
      <c r="AN35" s="492">
        <f>Y35</f>
        <v>13200</v>
      </c>
      <c r="AO35" s="492">
        <f t="shared" ref="AO35:AP38" si="49">K35+AA35</f>
        <v>960816</v>
      </c>
      <c r="AP35" s="492">
        <f t="shared" si="49"/>
        <v>28295</v>
      </c>
      <c r="AQ35" s="578">
        <f t="shared" si="7"/>
        <v>0</v>
      </c>
      <c r="AR35" s="626">
        <f>N35+AK35</f>
        <v>4.4961000000000002</v>
      </c>
    </row>
    <row r="36" spans="1:44" s="67" customFormat="1" ht="14.1" customHeight="1" x14ac:dyDescent="0.2">
      <c r="A36" s="88">
        <v>5</v>
      </c>
      <c r="B36" s="75">
        <v>2453</v>
      </c>
      <c r="C36" s="64">
        <v>600079686</v>
      </c>
      <c r="D36" s="56">
        <v>72743603</v>
      </c>
      <c r="E36" s="75" t="s">
        <v>691</v>
      </c>
      <c r="F36" s="76">
        <v>3117</v>
      </c>
      <c r="G36" s="75" t="s">
        <v>294</v>
      </c>
      <c r="H36" s="66" t="s">
        <v>262</v>
      </c>
      <c r="I36" s="586">
        <f t="shared" si="0"/>
        <v>5921450</v>
      </c>
      <c r="J36" s="14">
        <v>4392767</v>
      </c>
      <c r="K36" s="14">
        <v>1484755</v>
      </c>
      <c r="L36" s="14">
        <v>43928</v>
      </c>
      <c r="M36" s="14">
        <v>0</v>
      </c>
      <c r="N36" s="651">
        <v>6.3974000000000002</v>
      </c>
      <c r="O36" s="440">
        <f t="shared" si="1"/>
        <v>-13200</v>
      </c>
      <c r="P36" s="325">
        <v>0</v>
      </c>
      <c r="Q36" s="325">
        <v>0</v>
      </c>
      <c r="R36" s="325">
        <v>0</v>
      </c>
      <c r="S36" s="325">
        <v>0</v>
      </c>
      <c r="T36" s="325">
        <v>0</v>
      </c>
      <c r="U36" s="492">
        <f>O36+P36+Q36+R36+S36+T36</f>
        <v>-13200</v>
      </c>
      <c r="V36" s="325">
        <v>13200</v>
      </c>
      <c r="W36" s="325">
        <v>85425</v>
      </c>
      <c r="X36" s="325">
        <v>0</v>
      </c>
      <c r="Y36" s="492">
        <f t="shared" si="46"/>
        <v>98625</v>
      </c>
      <c r="Z36" s="492">
        <f t="shared" si="47"/>
        <v>85425</v>
      </c>
      <c r="AA36" s="494">
        <f t="shared" si="48"/>
        <v>28874</v>
      </c>
      <c r="AB36" s="55">
        <f>ROUND(U36*1%,0)</f>
        <v>-132</v>
      </c>
      <c r="AC36" s="14">
        <v>0</v>
      </c>
      <c r="AD36" s="622">
        <f t="shared" si="5"/>
        <v>114167</v>
      </c>
      <c r="AE36" s="715">
        <v>0</v>
      </c>
      <c r="AF36" s="326">
        <v>0</v>
      </c>
      <c r="AG36" s="326">
        <v>0</v>
      </c>
      <c r="AH36" s="326">
        <v>0</v>
      </c>
      <c r="AI36" s="326">
        <v>0</v>
      </c>
      <c r="AJ36" s="326">
        <v>0</v>
      </c>
      <c r="AK36" s="626">
        <f>SUM(AE36:AJ36)</f>
        <v>0</v>
      </c>
      <c r="AL36" s="696">
        <f>I36+AD36</f>
        <v>6035617</v>
      </c>
      <c r="AM36" s="492">
        <f>J36+U36</f>
        <v>4379567</v>
      </c>
      <c r="AN36" s="492">
        <f>Y36</f>
        <v>98625</v>
      </c>
      <c r="AO36" s="492">
        <f t="shared" si="49"/>
        <v>1513629</v>
      </c>
      <c r="AP36" s="492">
        <f t="shared" si="49"/>
        <v>43796</v>
      </c>
      <c r="AQ36" s="578">
        <f t="shared" si="7"/>
        <v>0</v>
      </c>
      <c r="AR36" s="626">
        <f>N36+AK36</f>
        <v>6.3974000000000002</v>
      </c>
    </row>
    <row r="37" spans="1:44" s="67" customFormat="1" ht="14.1" customHeight="1" x14ac:dyDescent="0.2">
      <c r="A37" s="88">
        <v>5</v>
      </c>
      <c r="B37" s="73">
        <v>2453</v>
      </c>
      <c r="C37" s="64">
        <v>600079686</v>
      </c>
      <c r="D37" s="56">
        <v>72743603</v>
      </c>
      <c r="E37" s="73" t="s">
        <v>691</v>
      </c>
      <c r="F37" s="65">
        <v>3117</v>
      </c>
      <c r="G37" s="56" t="s">
        <v>278</v>
      </c>
      <c r="H37" s="66" t="s">
        <v>263</v>
      </c>
      <c r="I37" s="586">
        <f t="shared" si="0"/>
        <v>0</v>
      </c>
      <c r="J37" s="423">
        <v>0</v>
      </c>
      <c r="K37" s="14">
        <v>0</v>
      </c>
      <c r="L37" s="14">
        <v>0</v>
      </c>
      <c r="M37" s="14">
        <v>0</v>
      </c>
      <c r="N37" s="725">
        <v>0</v>
      </c>
      <c r="O37" s="440">
        <f t="shared" si="1"/>
        <v>0</v>
      </c>
      <c r="P37" s="423">
        <v>1880924</v>
      </c>
      <c r="Q37" s="325">
        <v>0</v>
      </c>
      <c r="R37" s="325">
        <v>0</v>
      </c>
      <c r="S37" s="325">
        <v>0</v>
      </c>
      <c r="T37" s="325">
        <v>0</v>
      </c>
      <c r="U37" s="492">
        <f>O37+P37+Q37+R37+S37+T37</f>
        <v>1880924</v>
      </c>
      <c r="V37" s="325">
        <v>0</v>
      </c>
      <c r="W37" s="325">
        <v>0</v>
      </c>
      <c r="X37" s="325">
        <v>0</v>
      </c>
      <c r="Y37" s="492">
        <f t="shared" si="46"/>
        <v>0</v>
      </c>
      <c r="Z37" s="492">
        <f t="shared" si="47"/>
        <v>1880924</v>
      </c>
      <c r="AA37" s="494">
        <f t="shared" si="48"/>
        <v>635752</v>
      </c>
      <c r="AB37" s="55">
        <f>ROUND(U37*1%,0)</f>
        <v>18809</v>
      </c>
      <c r="AC37" s="14">
        <v>0</v>
      </c>
      <c r="AD37" s="622">
        <f t="shared" si="5"/>
        <v>2535485</v>
      </c>
      <c r="AE37" s="715">
        <v>0</v>
      </c>
      <c r="AF37" s="729">
        <v>4.59</v>
      </c>
      <c r="AG37" s="326">
        <v>0</v>
      </c>
      <c r="AH37" s="326">
        <v>0</v>
      </c>
      <c r="AI37" s="326">
        <v>0</v>
      </c>
      <c r="AJ37" s="326">
        <v>0</v>
      </c>
      <c r="AK37" s="626">
        <f>SUM(AE37:AJ37)</f>
        <v>4.59</v>
      </c>
      <c r="AL37" s="696">
        <f>I37+AD37</f>
        <v>2535485</v>
      </c>
      <c r="AM37" s="492">
        <f>J37+U37</f>
        <v>1880924</v>
      </c>
      <c r="AN37" s="492">
        <f>Y37</f>
        <v>0</v>
      </c>
      <c r="AO37" s="492">
        <f t="shared" si="49"/>
        <v>635752</v>
      </c>
      <c r="AP37" s="492">
        <f t="shared" si="49"/>
        <v>18809</v>
      </c>
      <c r="AQ37" s="578">
        <f t="shared" si="7"/>
        <v>0</v>
      </c>
      <c r="AR37" s="626">
        <f>N37+AK37</f>
        <v>4.59</v>
      </c>
    </row>
    <row r="38" spans="1:44" s="67" customFormat="1" ht="14.1" customHeight="1" x14ac:dyDescent="0.2">
      <c r="A38" s="88">
        <v>5</v>
      </c>
      <c r="B38" s="56">
        <v>2453</v>
      </c>
      <c r="C38" s="64">
        <v>600079686</v>
      </c>
      <c r="D38" s="56">
        <v>72743603</v>
      </c>
      <c r="E38" s="56" t="s">
        <v>691</v>
      </c>
      <c r="F38" s="65">
        <v>3143</v>
      </c>
      <c r="G38" s="56" t="s">
        <v>795</v>
      </c>
      <c r="H38" s="66" t="s">
        <v>262</v>
      </c>
      <c r="I38" s="586">
        <f t="shared" si="0"/>
        <v>1477185</v>
      </c>
      <c r="J38" s="14">
        <v>1095835</v>
      </c>
      <c r="K38" s="14">
        <v>370392</v>
      </c>
      <c r="L38" s="14">
        <v>10958</v>
      </c>
      <c r="M38" s="14">
        <v>0</v>
      </c>
      <c r="N38" s="651">
        <v>1.9822</v>
      </c>
      <c r="O38" s="440">
        <f t="shared" si="1"/>
        <v>0</v>
      </c>
      <c r="P38" s="325">
        <v>0</v>
      </c>
      <c r="Q38" s="325">
        <v>0</v>
      </c>
      <c r="R38" s="325">
        <v>0</v>
      </c>
      <c r="S38" s="325">
        <v>0</v>
      </c>
      <c r="T38" s="325">
        <v>0</v>
      </c>
      <c r="U38" s="492">
        <f>O38+P38+Q38+R38+S38+T38</f>
        <v>0</v>
      </c>
      <c r="V38" s="325">
        <v>0</v>
      </c>
      <c r="W38" s="325">
        <v>0</v>
      </c>
      <c r="X38" s="325">
        <v>0</v>
      </c>
      <c r="Y38" s="492">
        <f t="shared" si="46"/>
        <v>0</v>
      </c>
      <c r="Z38" s="492">
        <f t="shared" si="47"/>
        <v>0</v>
      </c>
      <c r="AA38" s="494">
        <f t="shared" si="48"/>
        <v>0</v>
      </c>
      <c r="AB38" s="55">
        <f>ROUND(U38*1%,0)</f>
        <v>0</v>
      </c>
      <c r="AC38" s="14">
        <v>0</v>
      </c>
      <c r="AD38" s="622">
        <f t="shared" si="5"/>
        <v>0</v>
      </c>
      <c r="AE38" s="715">
        <v>0</v>
      </c>
      <c r="AF38" s="326">
        <v>0</v>
      </c>
      <c r="AG38" s="326">
        <v>0</v>
      </c>
      <c r="AH38" s="326">
        <v>0</v>
      </c>
      <c r="AI38" s="326">
        <v>0</v>
      </c>
      <c r="AJ38" s="326">
        <v>0</v>
      </c>
      <c r="AK38" s="626">
        <f>SUM(AE38:AJ38)</f>
        <v>0</v>
      </c>
      <c r="AL38" s="696">
        <f>I38+AD38</f>
        <v>1477185</v>
      </c>
      <c r="AM38" s="492">
        <f>J38+U38</f>
        <v>1095835</v>
      </c>
      <c r="AN38" s="492">
        <f>Y38</f>
        <v>0</v>
      </c>
      <c r="AO38" s="492">
        <f t="shared" si="49"/>
        <v>370392</v>
      </c>
      <c r="AP38" s="492">
        <f t="shared" si="49"/>
        <v>10958</v>
      </c>
      <c r="AQ38" s="578">
        <f t="shared" si="7"/>
        <v>0</v>
      </c>
      <c r="AR38" s="626">
        <f>N38+AK38</f>
        <v>1.9822</v>
      </c>
    </row>
    <row r="39" spans="1:44" s="67" customFormat="1" ht="14.1" customHeight="1" x14ac:dyDescent="0.2">
      <c r="A39" s="89">
        <v>5</v>
      </c>
      <c r="B39" s="68">
        <v>2453</v>
      </c>
      <c r="C39" s="69">
        <v>600079686</v>
      </c>
      <c r="D39" s="68">
        <v>72743603</v>
      </c>
      <c r="E39" s="68" t="s">
        <v>692</v>
      </c>
      <c r="F39" s="77"/>
      <c r="G39" s="71"/>
      <c r="H39" s="72"/>
      <c r="I39" s="587">
        <f t="shared" ref="I39:N39" si="50">SUM(I35:I38)</f>
        <v>11230528</v>
      </c>
      <c r="J39" s="334">
        <f t="shared" si="50"/>
        <v>8331252</v>
      </c>
      <c r="K39" s="334">
        <f t="shared" si="50"/>
        <v>2815963</v>
      </c>
      <c r="L39" s="334">
        <f t="shared" si="50"/>
        <v>83313</v>
      </c>
      <c r="M39" s="334">
        <f t="shared" si="50"/>
        <v>0</v>
      </c>
      <c r="N39" s="74">
        <f t="shared" si="50"/>
        <v>12.8957</v>
      </c>
      <c r="O39" s="719">
        <f t="shared" ref="O39:Y39" si="51">SUM(O35:O38)</f>
        <v>-26400</v>
      </c>
      <c r="P39" s="334">
        <f t="shared" si="51"/>
        <v>1880924</v>
      </c>
      <c r="Q39" s="334">
        <f t="shared" si="51"/>
        <v>0</v>
      </c>
      <c r="R39" s="334">
        <f t="shared" si="51"/>
        <v>0</v>
      </c>
      <c r="S39" s="334">
        <f t="shared" si="51"/>
        <v>0</v>
      </c>
      <c r="T39" s="334">
        <f t="shared" si="51"/>
        <v>0</v>
      </c>
      <c r="U39" s="334">
        <f t="shared" si="51"/>
        <v>1854524</v>
      </c>
      <c r="V39" s="334">
        <f t="shared" si="51"/>
        <v>26400</v>
      </c>
      <c r="W39" s="334">
        <f t="shared" si="51"/>
        <v>85425</v>
      </c>
      <c r="X39" s="334">
        <f t="shared" si="51"/>
        <v>0</v>
      </c>
      <c r="Y39" s="334">
        <f t="shared" si="51"/>
        <v>111825</v>
      </c>
      <c r="Z39" s="334">
        <f t="shared" ref="Z39:AR39" si="52">SUM(Z35:Z38)</f>
        <v>1966349</v>
      </c>
      <c r="AA39" s="334">
        <f t="shared" si="52"/>
        <v>664626</v>
      </c>
      <c r="AB39" s="334">
        <f t="shared" si="52"/>
        <v>18545</v>
      </c>
      <c r="AC39" s="334">
        <f t="shared" si="52"/>
        <v>0</v>
      </c>
      <c r="AD39" s="712">
        <f t="shared" si="52"/>
        <v>2649520</v>
      </c>
      <c r="AE39" s="716">
        <f t="shared" si="52"/>
        <v>-0.02</v>
      </c>
      <c r="AF39" s="335">
        <f t="shared" si="52"/>
        <v>4.59</v>
      </c>
      <c r="AG39" s="335">
        <f t="shared" si="52"/>
        <v>0</v>
      </c>
      <c r="AH39" s="335">
        <f t="shared" si="52"/>
        <v>0</v>
      </c>
      <c r="AI39" s="335">
        <f t="shared" si="52"/>
        <v>0</v>
      </c>
      <c r="AJ39" s="335">
        <f t="shared" si="52"/>
        <v>0</v>
      </c>
      <c r="AK39" s="74">
        <f t="shared" si="52"/>
        <v>4.57</v>
      </c>
      <c r="AL39" s="589">
        <f t="shared" si="52"/>
        <v>13880048</v>
      </c>
      <c r="AM39" s="557">
        <f t="shared" si="52"/>
        <v>10185776</v>
      </c>
      <c r="AN39" s="557">
        <f t="shared" si="52"/>
        <v>111825</v>
      </c>
      <c r="AO39" s="557">
        <f t="shared" si="52"/>
        <v>3480589</v>
      </c>
      <c r="AP39" s="557">
        <f t="shared" si="52"/>
        <v>101858</v>
      </c>
      <c r="AQ39" s="557">
        <f t="shared" si="52"/>
        <v>0</v>
      </c>
      <c r="AR39" s="590">
        <f t="shared" si="52"/>
        <v>17.465699999999998</v>
      </c>
    </row>
    <row r="40" spans="1:44" s="67" customFormat="1" ht="14.1" customHeight="1" x14ac:dyDescent="0.2">
      <c r="A40" s="88">
        <v>6</v>
      </c>
      <c r="B40" s="73">
        <v>2320</v>
      </c>
      <c r="C40" s="64">
        <v>650034180</v>
      </c>
      <c r="D40" s="56">
        <v>72755369</v>
      </c>
      <c r="E40" s="56" t="s">
        <v>693</v>
      </c>
      <c r="F40" s="65">
        <v>3111</v>
      </c>
      <c r="G40" s="56" t="s">
        <v>277</v>
      </c>
      <c r="H40" s="66" t="s">
        <v>262</v>
      </c>
      <c r="I40" s="586">
        <f t="shared" si="0"/>
        <v>3082210</v>
      </c>
      <c r="J40" s="14">
        <v>2286506</v>
      </c>
      <c r="K40" s="14">
        <v>772839</v>
      </c>
      <c r="L40" s="14">
        <v>22865</v>
      </c>
      <c r="M40" s="14">
        <v>0</v>
      </c>
      <c r="N40" s="651">
        <v>4</v>
      </c>
      <c r="O40" s="440">
        <f t="shared" si="1"/>
        <v>-3000</v>
      </c>
      <c r="P40" s="325">
        <v>0</v>
      </c>
      <c r="Q40" s="325">
        <v>0</v>
      </c>
      <c r="R40" s="325">
        <v>0</v>
      </c>
      <c r="S40" s="325">
        <v>0</v>
      </c>
      <c r="T40" s="325">
        <v>0</v>
      </c>
      <c r="U40" s="492">
        <f>O40+P40+Q40+R40+S40+T40</f>
        <v>-3000</v>
      </c>
      <c r="V40" s="325">
        <v>3000</v>
      </c>
      <c r="W40" s="325">
        <v>0</v>
      </c>
      <c r="X40" s="325">
        <v>0</v>
      </c>
      <c r="Y40" s="492">
        <f t="shared" ref="Y40:Y43" si="53">V40+W40+X40</f>
        <v>3000</v>
      </c>
      <c r="Z40" s="492">
        <f t="shared" ref="Z40:Z43" si="54">U40+Y40</f>
        <v>0</v>
      </c>
      <c r="AA40" s="494">
        <f t="shared" ref="AA40:AA43" si="55">ROUND((U40+Y40)*33.8%,0)</f>
        <v>0</v>
      </c>
      <c r="AB40" s="55">
        <f>ROUND(U40*1%,0)</f>
        <v>-30</v>
      </c>
      <c r="AC40" s="14">
        <v>0</v>
      </c>
      <c r="AD40" s="622">
        <f t="shared" si="5"/>
        <v>-30</v>
      </c>
      <c r="AE40" s="715">
        <v>0</v>
      </c>
      <c r="AF40" s="326">
        <v>0</v>
      </c>
      <c r="AG40" s="326">
        <v>0</v>
      </c>
      <c r="AH40" s="326">
        <v>0</v>
      </c>
      <c r="AI40" s="326">
        <v>0</v>
      </c>
      <c r="AJ40" s="326">
        <v>0</v>
      </c>
      <c r="AK40" s="626">
        <f>SUM(AE40:AJ40)</f>
        <v>0</v>
      </c>
      <c r="AL40" s="696">
        <f>I40+AD40</f>
        <v>3082180</v>
      </c>
      <c r="AM40" s="492">
        <f>J40+U40</f>
        <v>2283506</v>
      </c>
      <c r="AN40" s="492">
        <f>Y40</f>
        <v>3000</v>
      </c>
      <c r="AO40" s="492">
        <f t="shared" ref="AO40:AP43" si="56">K40+AA40</f>
        <v>772839</v>
      </c>
      <c r="AP40" s="492">
        <f t="shared" si="56"/>
        <v>22835</v>
      </c>
      <c r="AQ40" s="578">
        <f t="shared" si="7"/>
        <v>0</v>
      </c>
      <c r="AR40" s="626">
        <f>N40+AK40</f>
        <v>4</v>
      </c>
    </row>
    <row r="41" spans="1:44" s="67" customFormat="1" ht="14.1" customHeight="1" x14ac:dyDescent="0.2">
      <c r="A41" s="88">
        <v>6</v>
      </c>
      <c r="B41" s="75">
        <v>2320</v>
      </c>
      <c r="C41" s="64">
        <v>650034180</v>
      </c>
      <c r="D41" s="56">
        <v>72755369</v>
      </c>
      <c r="E41" s="75" t="s">
        <v>693</v>
      </c>
      <c r="F41" s="76">
        <v>3117</v>
      </c>
      <c r="G41" s="75" t="s">
        <v>280</v>
      </c>
      <c r="H41" s="66" t="s">
        <v>262</v>
      </c>
      <c r="I41" s="586">
        <f t="shared" si="0"/>
        <v>3923040</v>
      </c>
      <c r="J41" s="14">
        <v>2910267</v>
      </c>
      <c r="K41" s="14">
        <v>983670</v>
      </c>
      <c r="L41" s="14">
        <v>29103</v>
      </c>
      <c r="M41" s="14">
        <v>0</v>
      </c>
      <c r="N41" s="651">
        <v>4.1363000000000003</v>
      </c>
      <c r="O41" s="440">
        <f t="shared" si="1"/>
        <v>-9000</v>
      </c>
      <c r="P41" s="325">
        <v>0</v>
      </c>
      <c r="Q41" s="325">
        <v>0</v>
      </c>
      <c r="R41" s="325">
        <v>0</v>
      </c>
      <c r="S41" s="325">
        <v>0</v>
      </c>
      <c r="T41" s="325">
        <v>0</v>
      </c>
      <c r="U41" s="492">
        <f>O41+P41+Q41+R41+S41+T41</f>
        <v>-9000</v>
      </c>
      <c r="V41" s="325">
        <v>9000</v>
      </c>
      <c r="W41" s="325">
        <v>0</v>
      </c>
      <c r="X41" s="325">
        <v>0</v>
      </c>
      <c r="Y41" s="492">
        <f t="shared" si="53"/>
        <v>9000</v>
      </c>
      <c r="Z41" s="492">
        <f t="shared" si="54"/>
        <v>0</v>
      </c>
      <c r="AA41" s="494">
        <f t="shared" si="55"/>
        <v>0</v>
      </c>
      <c r="AB41" s="55">
        <f>ROUND(U41*1%,0)</f>
        <v>-90</v>
      </c>
      <c r="AC41" s="14">
        <v>0</v>
      </c>
      <c r="AD41" s="622">
        <f t="shared" si="5"/>
        <v>-90</v>
      </c>
      <c r="AE41" s="715">
        <v>0</v>
      </c>
      <c r="AF41" s="326">
        <v>0</v>
      </c>
      <c r="AG41" s="326">
        <v>0</v>
      </c>
      <c r="AH41" s="326">
        <v>0</v>
      </c>
      <c r="AI41" s="326">
        <v>0</v>
      </c>
      <c r="AJ41" s="326">
        <v>0</v>
      </c>
      <c r="AK41" s="626">
        <f>SUM(AE41:AJ41)</f>
        <v>0</v>
      </c>
      <c r="AL41" s="696">
        <f>I41+AD41</f>
        <v>3922950</v>
      </c>
      <c r="AM41" s="492">
        <f>J41+U41</f>
        <v>2901267</v>
      </c>
      <c r="AN41" s="492">
        <f>Y41</f>
        <v>9000</v>
      </c>
      <c r="AO41" s="492">
        <f t="shared" si="56"/>
        <v>983670</v>
      </c>
      <c r="AP41" s="492">
        <f t="shared" si="56"/>
        <v>29013</v>
      </c>
      <c r="AQ41" s="578">
        <f t="shared" si="7"/>
        <v>0</v>
      </c>
      <c r="AR41" s="626">
        <f>N41+AK41</f>
        <v>4.1363000000000003</v>
      </c>
    </row>
    <row r="42" spans="1:44" s="67" customFormat="1" ht="14.1" customHeight="1" x14ac:dyDescent="0.2">
      <c r="A42" s="88">
        <v>6</v>
      </c>
      <c r="B42" s="73">
        <v>2320</v>
      </c>
      <c r="C42" s="64">
        <v>650034180</v>
      </c>
      <c r="D42" s="56">
        <v>72755369</v>
      </c>
      <c r="E42" s="73" t="s">
        <v>693</v>
      </c>
      <c r="F42" s="65">
        <v>3117</v>
      </c>
      <c r="G42" s="56" t="s">
        <v>278</v>
      </c>
      <c r="H42" s="66" t="s">
        <v>263</v>
      </c>
      <c r="I42" s="586">
        <f t="shared" si="0"/>
        <v>0</v>
      </c>
      <c r="J42" s="423">
        <v>0</v>
      </c>
      <c r="K42" s="14">
        <v>0</v>
      </c>
      <c r="L42" s="14">
        <v>0</v>
      </c>
      <c r="M42" s="14">
        <v>0</v>
      </c>
      <c r="N42" s="725">
        <v>0</v>
      </c>
      <c r="O42" s="440">
        <f t="shared" si="1"/>
        <v>0</v>
      </c>
      <c r="P42" s="423">
        <v>451970</v>
      </c>
      <c r="Q42" s="325">
        <v>0</v>
      </c>
      <c r="R42" s="325">
        <v>0</v>
      </c>
      <c r="S42" s="325">
        <v>0</v>
      </c>
      <c r="T42" s="325">
        <v>0</v>
      </c>
      <c r="U42" s="492">
        <f>O42+P42+Q42+R42+S42+T42</f>
        <v>451970</v>
      </c>
      <c r="V42" s="325">
        <v>0</v>
      </c>
      <c r="W42" s="325">
        <v>0</v>
      </c>
      <c r="X42" s="325">
        <v>0</v>
      </c>
      <c r="Y42" s="492">
        <f t="shared" si="53"/>
        <v>0</v>
      </c>
      <c r="Z42" s="492">
        <f t="shared" si="54"/>
        <v>451970</v>
      </c>
      <c r="AA42" s="494">
        <f t="shared" si="55"/>
        <v>152766</v>
      </c>
      <c r="AB42" s="55">
        <f>ROUND(U42*1%,0)</f>
        <v>4520</v>
      </c>
      <c r="AC42" s="14">
        <v>0</v>
      </c>
      <c r="AD42" s="622">
        <f t="shared" si="5"/>
        <v>609256</v>
      </c>
      <c r="AE42" s="715">
        <v>0</v>
      </c>
      <c r="AF42" s="729">
        <v>1.1400000000000001</v>
      </c>
      <c r="AG42" s="326">
        <v>0</v>
      </c>
      <c r="AH42" s="326">
        <v>0</v>
      </c>
      <c r="AI42" s="326">
        <v>0</v>
      </c>
      <c r="AJ42" s="326">
        <v>0</v>
      </c>
      <c r="AK42" s="626">
        <f>SUM(AE42:AJ42)</f>
        <v>1.1400000000000001</v>
      </c>
      <c r="AL42" s="696">
        <f>I42+AD42</f>
        <v>609256</v>
      </c>
      <c r="AM42" s="492">
        <f>J42+U42</f>
        <v>451970</v>
      </c>
      <c r="AN42" s="492">
        <f>Y42</f>
        <v>0</v>
      </c>
      <c r="AO42" s="492">
        <f t="shared" si="56"/>
        <v>152766</v>
      </c>
      <c r="AP42" s="492">
        <f t="shared" si="56"/>
        <v>4520</v>
      </c>
      <c r="AQ42" s="578">
        <f t="shared" si="7"/>
        <v>0</v>
      </c>
      <c r="AR42" s="626">
        <f>N42+AK42</f>
        <v>1.1400000000000001</v>
      </c>
    </row>
    <row r="43" spans="1:44" s="67" customFormat="1" ht="14.1" customHeight="1" x14ac:dyDescent="0.2">
      <c r="A43" s="88">
        <v>6</v>
      </c>
      <c r="B43" s="56">
        <v>2320</v>
      </c>
      <c r="C43" s="64">
        <v>650034180</v>
      </c>
      <c r="D43" s="56">
        <v>72755369</v>
      </c>
      <c r="E43" s="56" t="s">
        <v>693</v>
      </c>
      <c r="F43" s="65">
        <v>3143</v>
      </c>
      <c r="G43" s="56" t="s">
        <v>794</v>
      </c>
      <c r="H43" s="66" t="s">
        <v>262</v>
      </c>
      <c r="I43" s="586">
        <f t="shared" si="0"/>
        <v>989292</v>
      </c>
      <c r="J43" s="14">
        <v>733896</v>
      </c>
      <c r="K43" s="14">
        <v>248057</v>
      </c>
      <c r="L43" s="14">
        <v>7339</v>
      </c>
      <c r="M43" s="14">
        <v>0</v>
      </c>
      <c r="N43" s="651">
        <v>1.458</v>
      </c>
      <c r="O43" s="440">
        <f t="shared" si="1"/>
        <v>0</v>
      </c>
      <c r="P43" s="325">
        <v>0</v>
      </c>
      <c r="Q43" s="325">
        <v>0</v>
      </c>
      <c r="R43" s="325">
        <v>0</v>
      </c>
      <c r="S43" s="325">
        <v>0</v>
      </c>
      <c r="T43" s="325">
        <v>0</v>
      </c>
      <c r="U43" s="492">
        <f>O43+P43+Q43+R43+S43+T43</f>
        <v>0</v>
      </c>
      <c r="V43" s="325">
        <v>0</v>
      </c>
      <c r="W43" s="325">
        <v>0</v>
      </c>
      <c r="X43" s="325">
        <v>0</v>
      </c>
      <c r="Y43" s="492">
        <f t="shared" si="53"/>
        <v>0</v>
      </c>
      <c r="Z43" s="492">
        <f t="shared" si="54"/>
        <v>0</v>
      </c>
      <c r="AA43" s="494">
        <f t="shared" si="55"/>
        <v>0</v>
      </c>
      <c r="AB43" s="55">
        <f>ROUND(U43*1%,0)</f>
        <v>0</v>
      </c>
      <c r="AC43" s="14">
        <v>0</v>
      </c>
      <c r="AD43" s="622">
        <f t="shared" si="5"/>
        <v>0</v>
      </c>
      <c r="AE43" s="715">
        <v>0</v>
      </c>
      <c r="AF43" s="326">
        <v>0</v>
      </c>
      <c r="AG43" s="326">
        <v>0</v>
      </c>
      <c r="AH43" s="326">
        <v>0</v>
      </c>
      <c r="AI43" s="326">
        <v>0</v>
      </c>
      <c r="AJ43" s="326">
        <v>0</v>
      </c>
      <c r="AK43" s="626">
        <f>SUM(AE43:AJ43)</f>
        <v>0</v>
      </c>
      <c r="AL43" s="696">
        <f>I43+AD43</f>
        <v>989292</v>
      </c>
      <c r="AM43" s="492">
        <f>J43+U43</f>
        <v>733896</v>
      </c>
      <c r="AN43" s="492">
        <f>Y43</f>
        <v>0</v>
      </c>
      <c r="AO43" s="492">
        <f t="shared" si="56"/>
        <v>248057</v>
      </c>
      <c r="AP43" s="492">
        <f t="shared" si="56"/>
        <v>7339</v>
      </c>
      <c r="AQ43" s="578">
        <f t="shared" si="7"/>
        <v>0</v>
      </c>
      <c r="AR43" s="626">
        <f>N43+AK43</f>
        <v>1.458</v>
      </c>
    </row>
    <row r="44" spans="1:44" s="67" customFormat="1" ht="14.1" customHeight="1" x14ac:dyDescent="0.2">
      <c r="A44" s="89">
        <v>6</v>
      </c>
      <c r="B44" s="68">
        <v>2320</v>
      </c>
      <c r="C44" s="69">
        <v>650034180</v>
      </c>
      <c r="D44" s="68">
        <v>72755369</v>
      </c>
      <c r="E44" s="68" t="s">
        <v>694</v>
      </c>
      <c r="F44" s="77"/>
      <c r="G44" s="71"/>
      <c r="H44" s="72"/>
      <c r="I44" s="587">
        <f t="shared" ref="I44:N44" si="57">SUM(I40:I43)</f>
        <v>7994542</v>
      </c>
      <c r="J44" s="334">
        <f t="shared" si="57"/>
        <v>5930669</v>
      </c>
      <c r="K44" s="334">
        <f t="shared" si="57"/>
        <v>2004566</v>
      </c>
      <c r="L44" s="334">
        <f t="shared" si="57"/>
        <v>59307</v>
      </c>
      <c r="M44" s="334">
        <f t="shared" si="57"/>
        <v>0</v>
      </c>
      <c r="N44" s="74">
        <f t="shared" si="57"/>
        <v>9.5943000000000005</v>
      </c>
      <c r="O44" s="719">
        <f t="shared" ref="O44:Y44" si="58">SUM(O40:O43)</f>
        <v>-12000</v>
      </c>
      <c r="P44" s="334">
        <f t="shared" si="58"/>
        <v>451970</v>
      </c>
      <c r="Q44" s="334">
        <f t="shared" si="58"/>
        <v>0</v>
      </c>
      <c r="R44" s="334">
        <f t="shared" si="58"/>
        <v>0</v>
      </c>
      <c r="S44" s="334">
        <f t="shared" si="58"/>
        <v>0</v>
      </c>
      <c r="T44" s="334">
        <f t="shared" si="58"/>
        <v>0</v>
      </c>
      <c r="U44" s="334">
        <f t="shared" si="58"/>
        <v>439970</v>
      </c>
      <c r="V44" s="334">
        <f t="shared" si="58"/>
        <v>12000</v>
      </c>
      <c r="W44" s="334">
        <f t="shared" si="58"/>
        <v>0</v>
      </c>
      <c r="X44" s="334">
        <f t="shared" si="58"/>
        <v>0</v>
      </c>
      <c r="Y44" s="334">
        <f t="shared" si="58"/>
        <v>12000</v>
      </c>
      <c r="Z44" s="334">
        <f t="shared" ref="Z44:AR44" si="59">SUM(Z40:Z43)</f>
        <v>451970</v>
      </c>
      <c r="AA44" s="334">
        <f t="shared" si="59"/>
        <v>152766</v>
      </c>
      <c r="AB44" s="334">
        <f t="shared" si="59"/>
        <v>4400</v>
      </c>
      <c r="AC44" s="334">
        <f t="shared" si="59"/>
        <v>0</v>
      </c>
      <c r="AD44" s="712">
        <f t="shared" si="59"/>
        <v>609136</v>
      </c>
      <c r="AE44" s="716">
        <f t="shared" si="59"/>
        <v>0</v>
      </c>
      <c r="AF44" s="335">
        <f t="shared" si="59"/>
        <v>1.1400000000000001</v>
      </c>
      <c r="AG44" s="335">
        <f t="shared" si="59"/>
        <v>0</v>
      </c>
      <c r="AH44" s="335">
        <f t="shared" si="59"/>
        <v>0</v>
      </c>
      <c r="AI44" s="335">
        <f t="shared" si="59"/>
        <v>0</v>
      </c>
      <c r="AJ44" s="335">
        <f t="shared" si="59"/>
        <v>0</v>
      </c>
      <c r="AK44" s="74">
        <f t="shared" si="59"/>
        <v>1.1400000000000001</v>
      </c>
      <c r="AL44" s="589">
        <f t="shared" si="59"/>
        <v>8603678</v>
      </c>
      <c r="AM44" s="557">
        <f t="shared" si="59"/>
        <v>6370639</v>
      </c>
      <c r="AN44" s="557">
        <f t="shared" si="59"/>
        <v>12000</v>
      </c>
      <c r="AO44" s="557">
        <f t="shared" si="59"/>
        <v>2157332</v>
      </c>
      <c r="AP44" s="557">
        <f t="shared" si="59"/>
        <v>63707</v>
      </c>
      <c r="AQ44" s="557">
        <f t="shared" si="59"/>
        <v>0</v>
      </c>
      <c r="AR44" s="590">
        <f t="shared" si="59"/>
        <v>10.734300000000001</v>
      </c>
    </row>
    <row r="45" spans="1:44" s="67" customFormat="1" ht="14.1" customHeight="1" x14ac:dyDescent="0.2">
      <c r="A45" s="88">
        <v>7</v>
      </c>
      <c r="B45" s="73">
        <v>2455</v>
      </c>
      <c r="C45" s="64">
        <v>600080145</v>
      </c>
      <c r="D45" s="56">
        <v>72741601</v>
      </c>
      <c r="E45" s="56" t="s">
        <v>695</v>
      </c>
      <c r="F45" s="65">
        <v>3111</v>
      </c>
      <c r="G45" s="56" t="s">
        <v>277</v>
      </c>
      <c r="H45" s="66" t="s">
        <v>262</v>
      </c>
      <c r="I45" s="586">
        <f t="shared" si="0"/>
        <v>1624060</v>
      </c>
      <c r="J45" s="14">
        <v>1204792</v>
      </c>
      <c r="K45" s="14">
        <v>407220</v>
      </c>
      <c r="L45" s="14">
        <v>12048</v>
      </c>
      <c r="M45" s="14">
        <v>0</v>
      </c>
      <c r="N45" s="651">
        <v>2</v>
      </c>
      <c r="O45" s="440">
        <f t="shared" si="1"/>
        <v>0</v>
      </c>
      <c r="P45" s="325">
        <v>0</v>
      </c>
      <c r="Q45" s="325">
        <v>0</v>
      </c>
      <c r="R45" s="325">
        <v>0</v>
      </c>
      <c r="S45" s="325">
        <v>0</v>
      </c>
      <c r="T45" s="325">
        <v>0</v>
      </c>
      <c r="U45" s="492">
        <f>O45+P45+Q45+R45+S45+T45</f>
        <v>0</v>
      </c>
      <c r="V45" s="325">
        <v>0</v>
      </c>
      <c r="W45" s="325">
        <v>0</v>
      </c>
      <c r="X45" s="325">
        <v>0</v>
      </c>
      <c r="Y45" s="492">
        <f t="shared" ref="Y45:Y48" si="60">V45+W45+X45</f>
        <v>0</v>
      </c>
      <c r="Z45" s="492">
        <f t="shared" ref="Z45:Z48" si="61">U45+Y45</f>
        <v>0</v>
      </c>
      <c r="AA45" s="494">
        <f t="shared" ref="AA45:AA48" si="62">ROUND((U45+Y45)*33.8%,0)</f>
        <v>0</v>
      </c>
      <c r="AB45" s="55">
        <f>ROUND(U45*1%,0)</f>
        <v>0</v>
      </c>
      <c r="AC45" s="14">
        <v>0</v>
      </c>
      <c r="AD45" s="622">
        <f t="shared" si="5"/>
        <v>0</v>
      </c>
      <c r="AE45" s="715">
        <v>0</v>
      </c>
      <c r="AF45" s="326">
        <v>0</v>
      </c>
      <c r="AG45" s="326">
        <v>0</v>
      </c>
      <c r="AH45" s="326">
        <v>0</v>
      </c>
      <c r="AI45" s="326">
        <v>0</v>
      </c>
      <c r="AJ45" s="326">
        <v>0</v>
      </c>
      <c r="AK45" s="626">
        <f>SUM(AE45:AJ45)</f>
        <v>0</v>
      </c>
      <c r="AL45" s="696">
        <f>I45+AD45</f>
        <v>1624060</v>
      </c>
      <c r="AM45" s="492">
        <f>J45+U45</f>
        <v>1204792</v>
      </c>
      <c r="AN45" s="492">
        <f>Y45</f>
        <v>0</v>
      </c>
      <c r="AO45" s="492">
        <f t="shared" ref="AO45:AP48" si="63">K45+AA45</f>
        <v>407220</v>
      </c>
      <c r="AP45" s="492">
        <f t="shared" si="63"/>
        <v>12048</v>
      </c>
      <c r="AQ45" s="578">
        <f t="shared" si="7"/>
        <v>0</v>
      </c>
      <c r="AR45" s="626">
        <f>N45+AK45</f>
        <v>2</v>
      </c>
    </row>
    <row r="46" spans="1:44" s="67" customFormat="1" ht="14.1" customHeight="1" x14ac:dyDescent="0.2">
      <c r="A46" s="88">
        <v>7</v>
      </c>
      <c r="B46" s="75">
        <v>2455</v>
      </c>
      <c r="C46" s="64">
        <v>600080145</v>
      </c>
      <c r="D46" s="56">
        <v>72741601</v>
      </c>
      <c r="E46" s="75" t="s">
        <v>695</v>
      </c>
      <c r="F46" s="76">
        <v>3117</v>
      </c>
      <c r="G46" s="75" t="s">
        <v>294</v>
      </c>
      <c r="H46" s="66" t="s">
        <v>262</v>
      </c>
      <c r="I46" s="586">
        <f t="shared" si="0"/>
        <v>2955472</v>
      </c>
      <c r="J46" s="14">
        <v>2192487</v>
      </c>
      <c r="K46" s="14">
        <v>741060</v>
      </c>
      <c r="L46" s="14">
        <v>21925</v>
      </c>
      <c r="M46" s="14">
        <v>0</v>
      </c>
      <c r="N46" s="651">
        <v>3.4091</v>
      </c>
      <c r="O46" s="440">
        <f t="shared" si="1"/>
        <v>0</v>
      </c>
      <c r="P46" s="325">
        <v>0</v>
      </c>
      <c r="Q46" s="325">
        <v>0</v>
      </c>
      <c r="R46" s="325">
        <v>0</v>
      </c>
      <c r="S46" s="325">
        <v>0</v>
      </c>
      <c r="T46" s="325">
        <v>0</v>
      </c>
      <c r="U46" s="492">
        <f>O46+P46+Q46+R46+S46+T46</f>
        <v>0</v>
      </c>
      <c r="V46" s="325">
        <v>0</v>
      </c>
      <c r="W46" s="325">
        <v>0</v>
      </c>
      <c r="X46" s="325">
        <v>0</v>
      </c>
      <c r="Y46" s="492">
        <f t="shared" si="60"/>
        <v>0</v>
      </c>
      <c r="Z46" s="492">
        <f t="shared" si="61"/>
        <v>0</v>
      </c>
      <c r="AA46" s="494">
        <f t="shared" si="62"/>
        <v>0</v>
      </c>
      <c r="AB46" s="55">
        <f>ROUND(U46*1%,0)</f>
        <v>0</v>
      </c>
      <c r="AC46" s="14">
        <v>0</v>
      </c>
      <c r="AD46" s="622">
        <f t="shared" si="5"/>
        <v>0</v>
      </c>
      <c r="AE46" s="715">
        <v>0</v>
      </c>
      <c r="AF46" s="326">
        <v>0</v>
      </c>
      <c r="AG46" s="326">
        <v>0</v>
      </c>
      <c r="AH46" s="326">
        <v>0</v>
      </c>
      <c r="AI46" s="326">
        <v>0</v>
      </c>
      <c r="AJ46" s="326">
        <v>0</v>
      </c>
      <c r="AK46" s="626">
        <f>SUM(AE46:AJ46)</f>
        <v>0</v>
      </c>
      <c r="AL46" s="696">
        <f>I46+AD46</f>
        <v>2955472</v>
      </c>
      <c r="AM46" s="492">
        <f>J46+U46</f>
        <v>2192487</v>
      </c>
      <c r="AN46" s="492">
        <f>Y46</f>
        <v>0</v>
      </c>
      <c r="AO46" s="492">
        <f t="shared" si="63"/>
        <v>741060</v>
      </c>
      <c r="AP46" s="492">
        <f t="shared" si="63"/>
        <v>21925</v>
      </c>
      <c r="AQ46" s="578">
        <f t="shared" si="7"/>
        <v>0</v>
      </c>
      <c r="AR46" s="626">
        <f>N46+AK46</f>
        <v>3.4091</v>
      </c>
    </row>
    <row r="47" spans="1:44" s="67" customFormat="1" ht="14.1" customHeight="1" x14ac:dyDescent="0.2">
      <c r="A47" s="88">
        <v>7</v>
      </c>
      <c r="B47" s="73">
        <v>2455</v>
      </c>
      <c r="C47" s="64">
        <v>600080145</v>
      </c>
      <c r="D47" s="56">
        <v>72741601</v>
      </c>
      <c r="E47" s="73" t="s">
        <v>695</v>
      </c>
      <c r="F47" s="65">
        <v>3117</v>
      </c>
      <c r="G47" s="56" t="s">
        <v>278</v>
      </c>
      <c r="H47" s="66" t="s">
        <v>263</v>
      </c>
      <c r="I47" s="586">
        <f t="shared" si="0"/>
        <v>0</v>
      </c>
      <c r="J47" s="423">
        <v>0</v>
      </c>
      <c r="K47" s="14">
        <v>0</v>
      </c>
      <c r="L47" s="14">
        <v>0</v>
      </c>
      <c r="M47" s="14">
        <v>0</v>
      </c>
      <c r="N47" s="725">
        <v>0</v>
      </c>
      <c r="O47" s="440">
        <f t="shared" si="1"/>
        <v>0</v>
      </c>
      <c r="P47" s="423">
        <v>224914</v>
      </c>
      <c r="Q47" s="325">
        <v>0</v>
      </c>
      <c r="R47" s="325">
        <v>0</v>
      </c>
      <c r="S47" s="325">
        <v>0</v>
      </c>
      <c r="T47" s="325">
        <v>0</v>
      </c>
      <c r="U47" s="492">
        <f>O47+P47+Q47+R47+S47+T47</f>
        <v>224914</v>
      </c>
      <c r="V47" s="325">
        <v>0</v>
      </c>
      <c r="W47" s="325">
        <v>0</v>
      </c>
      <c r="X47" s="325">
        <v>0</v>
      </c>
      <c r="Y47" s="492">
        <f t="shared" si="60"/>
        <v>0</v>
      </c>
      <c r="Z47" s="492">
        <f t="shared" si="61"/>
        <v>224914</v>
      </c>
      <c r="AA47" s="494">
        <f t="shared" si="62"/>
        <v>76021</v>
      </c>
      <c r="AB47" s="55">
        <f>ROUND(U47*1%,0)</f>
        <v>2249</v>
      </c>
      <c r="AC47" s="14">
        <v>0</v>
      </c>
      <c r="AD47" s="622">
        <f t="shared" si="5"/>
        <v>303184</v>
      </c>
      <c r="AE47" s="715">
        <v>0</v>
      </c>
      <c r="AF47" s="729">
        <v>0.55000000000000004</v>
      </c>
      <c r="AG47" s="326">
        <v>0</v>
      </c>
      <c r="AH47" s="326">
        <v>0</v>
      </c>
      <c r="AI47" s="326">
        <v>0</v>
      </c>
      <c r="AJ47" s="326">
        <v>0</v>
      </c>
      <c r="AK47" s="626">
        <f>SUM(AE47:AJ47)</f>
        <v>0.55000000000000004</v>
      </c>
      <c r="AL47" s="696">
        <f>I47+AD47</f>
        <v>303184</v>
      </c>
      <c r="AM47" s="492">
        <f>J47+U47</f>
        <v>224914</v>
      </c>
      <c r="AN47" s="492">
        <f>Y47</f>
        <v>0</v>
      </c>
      <c r="AO47" s="492">
        <f t="shared" si="63"/>
        <v>76021</v>
      </c>
      <c r="AP47" s="492">
        <f t="shared" si="63"/>
        <v>2249</v>
      </c>
      <c r="AQ47" s="578">
        <f t="shared" si="7"/>
        <v>0</v>
      </c>
      <c r="AR47" s="626">
        <f>N47+AK47</f>
        <v>0.55000000000000004</v>
      </c>
    </row>
    <row r="48" spans="1:44" s="67" customFormat="1" ht="14.1" customHeight="1" x14ac:dyDescent="0.2">
      <c r="A48" s="88">
        <v>7</v>
      </c>
      <c r="B48" s="56">
        <v>2455</v>
      </c>
      <c r="C48" s="64">
        <v>600080145</v>
      </c>
      <c r="D48" s="56">
        <v>72741601</v>
      </c>
      <c r="E48" s="56" t="s">
        <v>695</v>
      </c>
      <c r="F48" s="65">
        <v>3143</v>
      </c>
      <c r="G48" s="56" t="s">
        <v>794</v>
      </c>
      <c r="H48" s="66" t="s">
        <v>262</v>
      </c>
      <c r="I48" s="586">
        <f t="shared" si="0"/>
        <v>948249</v>
      </c>
      <c r="J48" s="14">
        <v>703449</v>
      </c>
      <c r="K48" s="14">
        <v>237766</v>
      </c>
      <c r="L48" s="14">
        <v>7034</v>
      </c>
      <c r="M48" s="14">
        <v>0</v>
      </c>
      <c r="N48" s="651">
        <v>1.4375</v>
      </c>
      <c r="O48" s="440">
        <f t="shared" si="1"/>
        <v>0</v>
      </c>
      <c r="P48" s="325">
        <v>0</v>
      </c>
      <c r="Q48" s="325">
        <v>0</v>
      </c>
      <c r="R48" s="325">
        <v>0</v>
      </c>
      <c r="S48" s="325">
        <v>0</v>
      </c>
      <c r="T48" s="325">
        <v>0</v>
      </c>
      <c r="U48" s="492">
        <f>O48+P48+Q48+R48+S48+T48</f>
        <v>0</v>
      </c>
      <c r="V48" s="325">
        <v>0</v>
      </c>
      <c r="W48" s="325">
        <v>0</v>
      </c>
      <c r="X48" s="325">
        <v>0</v>
      </c>
      <c r="Y48" s="492">
        <f t="shared" si="60"/>
        <v>0</v>
      </c>
      <c r="Z48" s="492">
        <f t="shared" si="61"/>
        <v>0</v>
      </c>
      <c r="AA48" s="494">
        <f t="shared" si="62"/>
        <v>0</v>
      </c>
      <c r="AB48" s="55">
        <f>ROUND(U48*1%,0)</f>
        <v>0</v>
      </c>
      <c r="AC48" s="14">
        <v>0</v>
      </c>
      <c r="AD48" s="622">
        <f t="shared" si="5"/>
        <v>0</v>
      </c>
      <c r="AE48" s="715">
        <v>0</v>
      </c>
      <c r="AF48" s="326">
        <v>0</v>
      </c>
      <c r="AG48" s="326">
        <v>0</v>
      </c>
      <c r="AH48" s="326">
        <v>0</v>
      </c>
      <c r="AI48" s="326">
        <v>0</v>
      </c>
      <c r="AJ48" s="326">
        <v>0</v>
      </c>
      <c r="AK48" s="626">
        <f>SUM(AE48:AJ48)</f>
        <v>0</v>
      </c>
      <c r="AL48" s="696">
        <f>I48+AD48</f>
        <v>948249</v>
      </c>
      <c r="AM48" s="492">
        <f>J48+U48</f>
        <v>703449</v>
      </c>
      <c r="AN48" s="492">
        <f>Y48</f>
        <v>0</v>
      </c>
      <c r="AO48" s="492">
        <f t="shared" si="63"/>
        <v>237766</v>
      </c>
      <c r="AP48" s="492">
        <f t="shared" si="63"/>
        <v>7034</v>
      </c>
      <c r="AQ48" s="578">
        <f t="shared" si="7"/>
        <v>0</v>
      </c>
      <c r="AR48" s="626">
        <f>N48+AK48</f>
        <v>1.4375</v>
      </c>
    </row>
    <row r="49" spans="1:44" s="67" customFormat="1" ht="14.1" customHeight="1" x14ac:dyDescent="0.2">
      <c r="A49" s="89">
        <v>7</v>
      </c>
      <c r="B49" s="68">
        <v>2455</v>
      </c>
      <c r="C49" s="69">
        <v>600080145</v>
      </c>
      <c r="D49" s="68">
        <v>72741601</v>
      </c>
      <c r="E49" s="68" t="s">
        <v>696</v>
      </c>
      <c r="F49" s="77"/>
      <c r="G49" s="71"/>
      <c r="H49" s="72"/>
      <c r="I49" s="587">
        <f t="shared" ref="I49:N49" si="64">SUM(I45:I48)</f>
        <v>5527781</v>
      </c>
      <c r="J49" s="334">
        <f t="shared" si="64"/>
        <v>4100728</v>
      </c>
      <c r="K49" s="334">
        <f t="shared" si="64"/>
        <v>1386046</v>
      </c>
      <c r="L49" s="334">
        <f t="shared" si="64"/>
        <v>41007</v>
      </c>
      <c r="M49" s="334">
        <f t="shared" si="64"/>
        <v>0</v>
      </c>
      <c r="N49" s="74">
        <f t="shared" si="64"/>
        <v>6.8466000000000005</v>
      </c>
      <c r="O49" s="719">
        <f t="shared" ref="O49:Y49" si="65">SUM(O45:O48)</f>
        <v>0</v>
      </c>
      <c r="P49" s="334">
        <f t="shared" si="65"/>
        <v>224914</v>
      </c>
      <c r="Q49" s="334">
        <f t="shared" si="65"/>
        <v>0</v>
      </c>
      <c r="R49" s="334">
        <f t="shared" si="65"/>
        <v>0</v>
      </c>
      <c r="S49" s="334">
        <f t="shared" si="65"/>
        <v>0</v>
      </c>
      <c r="T49" s="334">
        <f t="shared" si="65"/>
        <v>0</v>
      </c>
      <c r="U49" s="334">
        <f t="shared" si="65"/>
        <v>224914</v>
      </c>
      <c r="V49" s="334">
        <f t="shared" si="65"/>
        <v>0</v>
      </c>
      <c r="W49" s="334">
        <f t="shared" si="65"/>
        <v>0</v>
      </c>
      <c r="X49" s="334">
        <f t="shared" si="65"/>
        <v>0</v>
      </c>
      <c r="Y49" s="334">
        <f t="shared" si="65"/>
        <v>0</v>
      </c>
      <c r="Z49" s="334">
        <f t="shared" ref="Z49:AR49" si="66">SUM(Z45:Z48)</f>
        <v>224914</v>
      </c>
      <c r="AA49" s="334">
        <f t="shared" si="66"/>
        <v>76021</v>
      </c>
      <c r="AB49" s="334">
        <f t="shared" si="66"/>
        <v>2249</v>
      </c>
      <c r="AC49" s="334">
        <f t="shared" si="66"/>
        <v>0</v>
      </c>
      <c r="AD49" s="712">
        <f t="shared" si="66"/>
        <v>303184</v>
      </c>
      <c r="AE49" s="716">
        <f t="shared" si="66"/>
        <v>0</v>
      </c>
      <c r="AF49" s="335">
        <f t="shared" si="66"/>
        <v>0.55000000000000004</v>
      </c>
      <c r="AG49" s="335">
        <f t="shared" si="66"/>
        <v>0</v>
      </c>
      <c r="AH49" s="335">
        <f t="shared" si="66"/>
        <v>0</v>
      </c>
      <c r="AI49" s="335">
        <f t="shared" si="66"/>
        <v>0</v>
      </c>
      <c r="AJ49" s="335">
        <f t="shared" si="66"/>
        <v>0</v>
      </c>
      <c r="AK49" s="74">
        <f t="shared" si="66"/>
        <v>0.55000000000000004</v>
      </c>
      <c r="AL49" s="589">
        <f t="shared" si="66"/>
        <v>5830965</v>
      </c>
      <c r="AM49" s="557">
        <f t="shared" si="66"/>
        <v>4325642</v>
      </c>
      <c r="AN49" s="557">
        <f t="shared" si="66"/>
        <v>0</v>
      </c>
      <c r="AO49" s="557">
        <f t="shared" si="66"/>
        <v>1462067</v>
      </c>
      <c r="AP49" s="557">
        <f t="shared" si="66"/>
        <v>43256</v>
      </c>
      <c r="AQ49" s="557">
        <f t="shared" si="66"/>
        <v>0</v>
      </c>
      <c r="AR49" s="590">
        <f t="shared" si="66"/>
        <v>7.3966000000000003</v>
      </c>
    </row>
    <row r="50" spans="1:44" s="67" customFormat="1" ht="14.1" customHeight="1" x14ac:dyDescent="0.2">
      <c r="A50" s="88">
        <v>8</v>
      </c>
      <c r="B50" s="73">
        <v>2456</v>
      </c>
      <c r="C50" s="64">
        <v>600079732</v>
      </c>
      <c r="D50" s="56">
        <v>70695911</v>
      </c>
      <c r="E50" s="56" t="s">
        <v>697</v>
      </c>
      <c r="F50" s="65">
        <v>3111</v>
      </c>
      <c r="G50" s="56" t="s">
        <v>277</v>
      </c>
      <c r="H50" s="66" t="s">
        <v>262</v>
      </c>
      <c r="I50" s="586">
        <f t="shared" si="0"/>
        <v>9668659</v>
      </c>
      <c r="J50" s="14">
        <v>7172596</v>
      </c>
      <c r="K50" s="14">
        <v>2424337</v>
      </c>
      <c r="L50" s="14">
        <v>71726</v>
      </c>
      <c r="M50" s="14">
        <v>0</v>
      </c>
      <c r="N50" s="651">
        <v>12.376899999999999</v>
      </c>
      <c r="O50" s="440">
        <f t="shared" si="1"/>
        <v>-3000</v>
      </c>
      <c r="P50" s="325">
        <v>0</v>
      </c>
      <c r="Q50" s="325">
        <v>0</v>
      </c>
      <c r="R50" s="325">
        <v>0</v>
      </c>
      <c r="S50" s="325">
        <v>0</v>
      </c>
      <c r="T50" s="325">
        <v>0</v>
      </c>
      <c r="U50" s="492">
        <f>O50+P50+Q50+R50+S50+T50</f>
        <v>-3000</v>
      </c>
      <c r="V50" s="325">
        <v>3000</v>
      </c>
      <c r="W50" s="325">
        <v>0</v>
      </c>
      <c r="X50" s="325">
        <v>0</v>
      </c>
      <c r="Y50" s="492">
        <f t="shared" ref="Y50:Y54" si="67">V50+W50+X50</f>
        <v>3000</v>
      </c>
      <c r="Z50" s="492">
        <f t="shared" ref="Z50:Z54" si="68">U50+Y50</f>
        <v>0</v>
      </c>
      <c r="AA50" s="494">
        <f t="shared" ref="AA50:AA54" si="69">ROUND((U50+Y50)*33.8%,0)</f>
        <v>0</v>
      </c>
      <c r="AB50" s="55">
        <f>ROUND(U50*1%,0)</f>
        <v>-30</v>
      </c>
      <c r="AC50" s="14">
        <v>0</v>
      </c>
      <c r="AD50" s="622">
        <f t="shared" si="5"/>
        <v>-30</v>
      </c>
      <c r="AE50" s="715">
        <v>0</v>
      </c>
      <c r="AF50" s="326">
        <v>0</v>
      </c>
      <c r="AG50" s="326">
        <v>0</v>
      </c>
      <c r="AH50" s="326">
        <v>0</v>
      </c>
      <c r="AI50" s="326">
        <v>0</v>
      </c>
      <c r="AJ50" s="326">
        <v>0</v>
      </c>
      <c r="AK50" s="626">
        <f>SUM(AE50:AJ50)</f>
        <v>0</v>
      </c>
      <c r="AL50" s="696">
        <f>I50+AD50</f>
        <v>9668629</v>
      </c>
      <c r="AM50" s="492">
        <f>J50+U50</f>
        <v>7169596</v>
      </c>
      <c r="AN50" s="492">
        <f>Y50</f>
        <v>3000</v>
      </c>
      <c r="AO50" s="492">
        <f t="shared" ref="AO50:AP54" si="70">K50+AA50</f>
        <v>2424337</v>
      </c>
      <c r="AP50" s="492">
        <f t="shared" si="70"/>
        <v>71696</v>
      </c>
      <c r="AQ50" s="578">
        <f t="shared" si="7"/>
        <v>0</v>
      </c>
      <c r="AR50" s="626">
        <f>N50+AK50</f>
        <v>12.376899999999999</v>
      </c>
    </row>
    <row r="51" spans="1:44" s="67" customFormat="1" ht="14.1" customHeight="1" x14ac:dyDescent="0.2">
      <c r="A51" s="88">
        <v>8</v>
      </c>
      <c r="B51" s="56">
        <v>2456</v>
      </c>
      <c r="C51" s="64">
        <v>600079732</v>
      </c>
      <c r="D51" s="56">
        <v>70695911</v>
      </c>
      <c r="E51" s="56" t="s">
        <v>697</v>
      </c>
      <c r="F51" s="65">
        <v>3113</v>
      </c>
      <c r="G51" s="56" t="s">
        <v>280</v>
      </c>
      <c r="H51" s="66" t="s">
        <v>262</v>
      </c>
      <c r="I51" s="586">
        <f t="shared" si="0"/>
        <v>25552570</v>
      </c>
      <c r="J51" s="14">
        <v>18955912</v>
      </c>
      <c r="K51" s="14">
        <v>6407099</v>
      </c>
      <c r="L51" s="14">
        <v>189559</v>
      </c>
      <c r="M51" s="14">
        <v>0</v>
      </c>
      <c r="N51" s="651">
        <v>25</v>
      </c>
      <c r="O51" s="440">
        <f t="shared" si="1"/>
        <v>-48000</v>
      </c>
      <c r="P51" s="325">
        <v>0</v>
      </c>
      <c r="Q51" s="325">
        <v>0</v>
      </c>
      <c r="R51" s="325">
        <v>0</v>
      </c>
      <c r="S51" s="325">
        <v>0</v>
      </c>
      <c r="T51" s="325">
        <v>0</v>
      </c>
      <c r="U51" s="492">
        <f>O51+P51+Q51+R51+S51+T51</f>
        <v>-48000</v>
      </c>
      <c r="V51" s="325">
        <v>48000</v>
      </c>
      <c r="W51" s="325">
        <v>0</v>
      </c>
      <c r="X51" s="325">
        <v>0</v>
      </c>
      <c r="Y51" s="492">
        <f t="shared" si="67"/>
        <v>48000</v>
      </c>
      <c r="Z51" s="492">
        <f t="shared" si="68"/>
        <v>0</v>
      </c>
      <c r="AA51" s="494">
        <f t="shared" si="69"/>
        <v>0</v>
      </c>
      <c r="AB51" s="55">
        <f>ROUND(U51*1%,0)</f>
        <v>-480</v>
      </c>
      <c r="AC51" s="14">
        <v>0</v>
      </c>
      <c r="AD51" s="622">
        <f t="shared" si="5"/>
        <v>-480</v>
      </c>
      <c r="AE51" s="715">
        <v>0</v>
      </c>
      <c r="AF51" s="326">
        <v>0</v>
      </c>
      <c r="AG51" s="326">
        <v>0</v>
      </c>
      <c r="AH51" s="326">
        <v>0</v>
      </c>
      <c r="AI51" s="326">
        <v>0</v>
      </c>
      <c r="AJ51" s="326">
        <v>0</v>
      </c>
      <c r="AK51" s="626">
        <f>SUM(AE51:AJ51)</f>
        <v>0</v>
      </c>
      <c r="AL51" s="696">
        <f>I51+AD51</f>
        <v>25552090</v>
      </c>
      <c r="AM51" s="492">
        <f>J51+U51</f>
        <v>18907912</v>
      </c>
      <c r="AN51" s="492">
        <f>Y51</f>
        <v>48000</v>
      </c>
      <c r="AO51" s="492">
        <f t="shared" si="70"/>
        <v>6407099</v>
      </c>
      <c r="AP51" s="492">
        <f t="shared" si="70"/>
        <v>189079</v>
      </c>
      <c r="AQ51" s="578">
        <f t="shared" si="7"/>
        <v>0</v>
      </c>
      <c r="AR51" s="626">
        <f>N51+AK51</f>
        <v>25</v>
      </c>
    </row>
    <row r="52" spans="1:44" s="67" customFormat="1" ht="14.1" customHeight="1" x14ac:dyDescent="0.2">
      <c r="A52" s="88">
        <v>8</v>
      </c>
      <c r="B52" s="56">
        <v>2456</v>
      </c>
      <c r="C52" s="64">
        <v>600079732</v>
      </c>
      <c r="D52" s="56">
        <v>70695911</v>
      </c>
      <c r="E52" s="56" t="s">
        <v>697</v>
      </c>
      <c r="F52" s="65">
        <v>3113</v>
      </c>
      <c r="G52" s="56" t="s">
        <v>799</v>
      </c>
      <c r="H52" s="66" t="s">
        <v>262</v>
      </c>
      <c r="I52" s="586">
        <f t="shared" si="0"/>
        <v>575464</v>
      </c>
      <c r="J52" s="14">
        <v>426902</v>
      </c>
      <c r="K52" s="14">
        <v>144293</v>
      </c>
      <c r="L52" s="14">
        <v>4269</v>
      </c>
      <c r="M52" s="14">
        <v>0</v>
      </c>
      <c r="N52" s="651">
        <v>0.8</v>
      </c>
      <c r="O52" s="440">
        <f t="shared" ref="O52" si="71">V52*-1</f>
        <v>0</v>
      </c>
      <c r="P52" s="325">
        <v>0</v>
      </c>
      <c r="Q52" s="325">
        <v>0</v>
      </c>
      <c r="R52" s="325">
        <v>0</v>
      </c>
      <c r="S52" s="325">
        <v>0</v>
      </c>
      <c r="T52" s="325">
        <v>0</v>
      </c>
      <c r="U52" s="492">
        <f>O52+P52+Q52+R52+S52+T52</f>
        <v>0</v>
      </c>
      <c r="V52" s="325">
        <v>0</v>
      </c>
      <c r="W52" s="325">
        <v>0</v>
      </c>
      <c r="X52" s="325">
        <v>0</v>
      </c>
      <c r="Y52" s="492">
        <f t="shared" ref="Y52" si="72">V52+W52+X52</f>
        <v>0</v>
      </c>
      <c r="Z52" s="492">
        <f t="shared" ref="Z52" si="73">U52+Y52</f>
        <v>0</v>
      </c>
      <c r="AA52" s="494">
        <f t="shared" ref="AA52" si="74">ROUND((U52+Y52)*33.8%,0)</f>
        <v>0</v>
      </c>
      <c r="AB52" s="55">
        <f>ROUND(U52*1%,0)</f>
        <v>0</v>
      </c>
      <c r="AC52" s="14">
        <v>0</v>
      </c>
      <c r="AD52" s="622">
        <f t="shared" si="5"/>
        <v>0</v>
      </c>
      <c r="AE52" s="715">
        <v>0</v>
      </c>
      <c r="AF52" s="326">
        <v>0</v>
      </c>
      <c r="AG52" s="326">
        <v>0</v>
      </c>
      <c r="AH52" s="326">
        <v>0</v>
      </c>
      <c r="AI52" s="326">
        <v>0</v>
      </c>
      <c r="AJ52" s="326">
        <v>0</v>
      </c>
      <c r="AK52" s="626">
        <f>SUM(AE52:AJ52)</f>
        <v>0</v>
      </c>
      <c r="AL52" s="696">
        <f>I52+AD52</f>
        <v>575464</v>
      </c>
      <c r="AM52" s="492">
        <f>J52+U52</f>
        <v>426902</v>
      </c>
      <c r="AN52" s="492">
        <f>Y52</f>
        <v>0</v>
      </c>
      <c r="AO52" s="492">
        <f t="shared" si="70"/>
        <v>144293</v>
      </c>
      <c r="AP52" s="492">
        <f t="shared" si="70"/>
        <v>4269</v>
      </c>
      <c r="AQ52" s="578">
        <f t="shared" si="7"/>
        <v>0</v>
      </c>
      <c r="AR52" s="626">
        <f>N52+AK52</f>
        <v>0.8</v>
      </c>
    </row>
    <row r="53" spans="1:44" s="67" customFormat="1" ht="14.1" customHeight="1" x14ac:dyDescent="0.2">
      <c r="A53" s="88">
        <v>8</v>
      </c>
      <c r="B53" s="73">
        <v>2456</v>
      </c>
      <c r="C53" s="64">
        <v>600079732</v>
      </c>
      <c r="D53" s="56">
        <v>70695911</v>
      </c>
      <c r="E53" s="73" t="s">
        <v>697</v>
      </c>
      <c r="F53" s="65">
        <v>3113</v>
      </c>
      <c r="G53" s="56" t="s">
        <v>278</v>
      </c>
      <c r="H53" s="66" t="s">
        <v>263</v>
      </c>
      <c r="I53" s="586">
        <f t="shared" si="0"/>
        <v>0</v>
      </c>
      <c r="J53" s="423">
        <v>0</v>
      </c>
      <c r="K53" s="14">
        <v>0</v>
      </c>
      <c r="L53" s="14">
        <v>0</v>
      </c>
      <c r="M53" s="14">
        <v>0</v>
      </c>
      <c r="N53" s="725">
        <v>0</v>
      </c>
      <c r="O53" s="440">
        <f t="shared" si="1"/>
        <v>0</v>
      </c>
      <c r="P53" s="423">
        <f>2817368-58395</f>
        <v>2758973</v>
      </c>
      <c r="Q53" s="325">
        <v>0</v>
      </c>
      <c r="R53" s="325">
        <v>0</v>
      </c>
      <c r="S53" s="325">
        <v>0</v>
      </c>
      <c r="T53" s="325">
        <v>0</v>
      </c>
      <c r="U53" s="492">
        <f>O53+P53+Q53+R53+S53+T53</f>
        <v>2758973</v>
      </c>
      <c r="V53" s="325">
        <v>0</v>
      </c>
      <c r="W53" s="325">
        <v>0</v>
      </c>
      <c r="X53" s="325">
        <v>0</v>
      </c>
      <c r="Y53" s="492">
        <f t="shared" si="67"/>
        <v>0</v>
      </c>
      <c r="Z53" s="492">
        <f t="shared" si="68"/>
        <v>2758973</v>
      </c>
      <c r="AA53" s="494">
        <f t="shared" si="69"/>
        <v>932533</v>
      </c>
      <c r="AB53" s="55">
        <f>ROUND(U53*1%,0)</f>
        <v>27590</v>
      </c>
      <c r="AC53" s="14">
        <v>0</v>
      </c>
      <c r="AD53" s="622">
        <f t="shared" si="5"/>
        <v>3719096</v>
      </c>
      <c r="AE53" s="715">
        <v>0</v>
      </c>
      <c r="AF53" s="729">
        <f>7.27-0.17</f>
        <v>7.1</v>
      </c>
      <c r="AG53" s="326">
        <v>0</v>
      </c>
      <c r="AH53" s="326">
        <v>0</v>
      </c>
      <c r="AI53" s="326">
        <v>0</v>
      </c>
      <c r="AJ53" s="326">
        <v>0</v>
      </c>
      <c r="AK53" s="626">
        <f>SUM(AE53:AJ53)</f>
        <v>7.1</v>
      </c>
      <c r="AL53" s="696">
        <f>I53+AD53</f>
        <v>3719096</v>
      </c>
      <c r="AM53" s="492">
        <f>J53+U53</f>
        <v>2758973</v>
      </c>
      <c r="AN53" s="492">
        <f>Y53</f>
        <v>0</v>
      </c>
      <c r="AO53" s="492">
        <f t="shared" si="70"/>
        <v>932533</v>
      </c>
      <c r="AP53" s="492">
        <f t="shared" si="70"/>
        <v>27590</v>
      </c>
      <c r="AQ53" s="578">
        <f t="shared" si="7"/>
        <v>0</v>
      </c>
      <c r="AR53" s="626">
        <f>N53+AK53</f>
        <v>7.1</v>
      </c>
    </row>
    <row r="54" spans="1:44" s="67" customFormat="1" ht="14.1" customHeight="1" x14ac:dyDescent="0.2">
      <c r="A54" s="88">
        <v>8</v>
      </c>
      <c r="B54" s="56">
        <v>2456</v>
      </c>
      <c r="C54" s="64">
        <v>600079732</v>
      </c>
      <c r="D54" s="56">
        <v>70695911</v>
      </c>
      <c r="E54" s="56" t="s">
        <v>697</v>
      </c>
      <c r="F54" s="65">
        <v>3143</v>
      </c>
      <c r="G54" s="56" t="s">
        <v>794</v>
      </c>
      <c r="H54" s="66" t="s">
        <v>262</v>
      </c>
      <c r="I54" s="586">
        <f t="shared" si="0"/>
        <v>2149753</v>
      </c>
      <c r="J54" s="14">
        <v>1594772</v>
      </c>
      <c r="K54" s="14">
        <v>539033</v>
      </c>
      <c r="L54" s="14">
        <v>15948</v>
      </c>
      <c r="M54" s="14">
        <v>0</v>
      </c>
      <c r="N54" s="651">
        <v>2.8235000000000001</v>
      </c>
      <c r="O54" s="440">
        <f t="shared" si="1"/>
        <v>-9000</v>
      </c>
      <c r="P54" s="325">
        <v>0</v>
      </c>
      <c r="Q54" s="325">
        <v>0</v>
      </c>
      <c r="R54" s="325">
        <v>0</v>
      </c>
      <c r="S54" s="325">
        <v>0</v>
      </c>
      <c r="T54" s="325">
        <v>0</v>
      </c>
      <c r="U54" s="492">
        <f>O54+P54+Q54+R54+S54+T54</f>
        <v>-9000</v>
      </c>
      <c r="V54" s="325">
        <v>9000</v>
      </c>
      <c r="W54" s="325">
        <v>0</v>
      </c>
      <c r="X54" s="325">
        <v>0</v>
      </c>
      <c r="Y54" s="492">
        <f t="shared" si="67"/>
        <v>9000</v>
      </c>
      <c r="Z54" s="492">
        <f t="shared" si="68"/>
        <v>0</v>
      </c>
      <c r="AA54" s="494">
        <f t="shared" si="69"/>
        <v>0</v>
      </c>
      <c r="AB54" s="55">
        <f>ROUND(U54*1%,0)</f>
        <v>-90</v>
      </c>
      <c r="AC54" s="14">
        <v>0</v>
      </c>
      <c r="AD54" s="622">
        <f t="shared" si="5"/>
        <v>-90</v>
      </c>
      <c r="AE54" s="715">
        <v>0</v>
      </c>
      <c r="AF54" s="326">
        <v>0</v>
      </c>
      <c r="AG54" s="326">
        <v>0</v>
      </c>
      <c r="AH54" s="326">
        <v>0</v>
      </c>
      <c r="AI54" s="326">
        <v>0</v>
      </c>
      <c r="AJ54" s="326">
        <v>0</v>
      </c>
      <c r="AK54" s="626">
        <f>SUM(AE54:AJ54)</f>
        <v>0</v>
      </c>
      <c r="AL54" s="696">
        <f>I54+AD54</f>
        <v>2149663</v>
      </c>
      <c r="AM54" s="492">
        <f>J54+U54</f>
        <v>1585772</v>
      </c>
      <c r="AN54" s="492">
        <f>Y54</f>
        <v>9000</v>
      </c>
      <c r="AO54" s="492">
        <f t="shared" si="70"/>
        <v>539033</v>
      </c>
      <c r="AP54" s="492">
        <f t="shared" si="70"/>
        <v>15858</v>
      </c>
      <c r="AQ54" s="578">
        <f t="shared" si="7"/>
        <v>0</v>
      </c>
      <c r="AR54" s="626">
        <f>N54+AK54</f>
        <v>2.8235000000000001</v>
      </c>
    </row>
    <row r="55" spans="1:44" s="67" customFormat="1" ht="14.1" customHeight="1" x14ac:dyDescent="0.2">
      <c r="A55" s="89">
        <v>8</v>
      </c>
      <c r="B55" s="68">
        <v>2456</v>
      </c>
      <c r="C55" s="69">
        <v>600079732</v>
      </c>
      <c r="D55" s="68">
        <v>70695911</v>
      </c>
      <c r="E55" s="68" t="s">
        <v>698</v>
      </c>
      <c r="F55" s="70"/>
      <c r="G55" s="71"/>
      <c r="H55" s="72"/>
      <c r="I55" s="587">
        <f t="shared" ref="I55:N55" si="75">SUM(I50:I54)</f>
        <v>37946446</v>
      </c>
      <c r="J55" s="334">
        <f t="shared" si="75"/>
        <v>28150182</v>
      </c>
      <c r="K55" s="334">
        <f t="shared" si="75"/>
        <v>9514762</v>
      </c>
      <c r="L55" s="334">
        <f t="shared" si="75"/>
        <v>281502</v>
      </c>
      <c r="M55" s="334">
        <f t="shared" si="75"/>
        <v>0</v>
      </c>
      <c r="N55" s="74">
        <f t="shared" si="75"/>
        <v>41.000399999999999</v>
      </c>
      <c r="O55" s="719">
        <f t="shared" ref="O55:Y55" si="76">SUM(O50:O54)</f>
        <v>-60000</v>
      </c>
      <c r="P55" s="334">
        <f t="shared" si="76"/>
        <v>2758973</v>
      </c>
      <c r="Q55" s="334">
        <f t="shared" si="76"/>
        <v>0</v>
      </c>
      <c r="R55" s="334">
        <f t="shared" si="76"/>
        <v>0</v>
      </c>
      <c r="S55" s="334">
        <f t="shared" si="76"/>
        <v>0</v>
      </c>
      <c r="T55" s="334">
        <f t="shared" si="76"/>
        <v>0</v>
      </c>
      <c r="U55" s="334">
        <f t="shared" si="76"/>
        <v>2698973</v>
      </c>
      <c r="V55" s="334">
        <f t="shared" si="76"/>
        <v>60000</v>
      </c>
      <c r="W55" s="334">
        <f t="shared" si="76"/>
        <v>0</v>
      </c>
      <c r="X55" s="334">
        <f t="shared" si="76"/>
        <v>0</v>
      </c>
      <c r="Y55" s="334">
        <f t="shared" si="76"/>
        <v>60000</v>
      </c>
      <c r="Z55" s="334">
        <f t="shared" ref="Z55:AR55" si="77">SUM(Z50:Z54)</f>
        <v>2758973</v>
      </c>
      <c r="AA55" s="334">
        <f t="shared" si="77"/>
        <v>932533</v>
      </c>
      <c r="AB55" s="334">
        <f t="shared" si="77"/>
        <v>26990</v>
      </c>
      <c r="AC55" s="334">
        <f t="shared" si="77"/>
        <v>0</v>
      </c>
      <c r="AD55" s="712">
        <f t="shared" si="77"/>
        <v>3718496</v>
      </c>
      <c r="AE55" s="716">
        <f t="shared" si="77"/>
        <v>0</v>
      </c>
      <c r="AF55" s="335">
        <f t="shared" si="77"/>
        <v>7.1</v>
      </c>
      <c r="AG55" s="335">
        <f t="shared" si="77"/>
        <v>0</v>
      </c>
      <c r="AH55" s="335">
        <f t="shared" si="77"/>
        <v>0</v>
      </c>
      <c r="AI55" s="335">
        <f t="shared" si="77"/>
        <v>0</v>
      </c>
      <c r="AJ55" s="335">
        <f t="shared" si="77"/>
        <v>0</v>
      </c>
      <c r="AK55" s="74">
        <f t="shared" si="77"/>
        <v>7.1</v>
      </c>
      <c r="AL55" s="589">
        <f t="shared" si="77"/>
        <v>41664942</v>
      </c>
      <c r="AM55" s="557">
        <f t="shared" si="77"/>
        <v>30849155</v>
      </c>
      <c r="AN55" s="557">
        <f t="shared" si="77"/>
        <v>60000</v>
      </c>
      <c r="AO55" s="557">
        <f t="shared" si="77"/>
        <v>10447295</v>
      </c>
      <c r="AP55" s="557">
        <f t="shared" si="77"/>
        <v>308492</v>
      </c>
      <c r="AQ55" s="557">
        <f t="shared" si="77"/>
        <v>0</v>
      </c>
      <c r="AR55" s="590">
        <f t="shared" si="77"/>
        <v>48.1004</v>
      </c>
    </row>
    <row r="56" spans="1:44" s="67" customFormat="1" ht="14.1" customHeight="1" x14ac:dyDescent="0.2">
      <c r="A56" s="88">
        <v>9</v>
      </c>
      <c r="B56" s="73">
        <v>2462</v>
      </c>
      <c r="C56" s="64">
        <v>600079813</v>
      </c>
      <c r="D56" s="56">
        <v>72744600</v>
      </c>
      <c r="E56" s="56" t="s">
        <v>699</v>
      </c>
      <c r="F56" s="65">
        <v>3111</v>
      </c>
      <c r="G56" s="56" t="s">
        <v>277</v>
      </c>
      <c r="H56" s="66" t="s">
        <v>262</v>
      </c>
      <c r="I56" s="586">
        <f t="shared" si="0"/>
        <v>1635471</v>
      </c>
      <c r="J56" s="14">
        <v>1213257</v>
      </c>
      <c r="K56" s="14">
        <v>410081</v>
      </c>
      <c r="L56" s="14">
        <v>12133</v>
      </c>
      <c r="M56" s="14">
        <v>0</v>
      </c>
      <c r="N56" s="651">
        <v>2</v>
      </c>
      <c r="O56" s="440">
        <f t="shared" si="1"/>
        <v>0</v>
      </c>
      <c r="P56" s="325">
        <v>0</v>
      </c>
      <c r="Q56" s="325">
        <v>0</v>
      </c>
      <c r="R56" s="325">
        <v>0</v>
      </c>
      <c r="S56" s="325">
        <v>0</v>
      </c>
      <c r="T56" s="325">
        <v>0</v>
      </c>
      <c r="U56" s="492">
        <f>O56+P56+Q56+R56+S56+T56</f>
        <v>0</v>
      </c>
      <c r="V56" s="325">
        <v>0</v>
      </c>
      <c r="W56" s="325">
        <v>0</v>
      </c>
      <c r="X56" s="325">
        <v>0</v>
      </c>
      <c r="Y56" s="492">
        <f t="shared" ref="Y56:Y59" si="78">V56+W56+X56</f>
        <v>0</v>
      </c>
      <c r="Z56" s="492">
        <f t="shared" ref="Z56:Z59" si="79">U56+Y56</f>
        <v>0</v>
      </c>
      <c r="AA56" s="494">
        <f t="shared" ref="AA56:AA59" si="80">ROUND((U56+Y56)*33.8%,0)</f>
        <v>0</v>
      </c>
      <c r="AB56" s="55">
        <f>ROUND(U56*1%,0)</f>
        <v>0</v>
      </c>
      <c r="AC56" s="14">
        <v>0</v>
      </c>
      <c r="AD56" s="622">
        <f t="shared" si="5"/>
        <v>0</v>
      </c>
      <c r="AE56" s="715">
        <v>0</v>
      </c>
      <c r="AF56" s="326">
        <v>0</v>
      </c>
      <c r="AG56" s="326">
        <v>0</v>
      </c>
      <c r="AH56" s="326">
        <v>0</v>
      </c>
      <c r="AI56" s="326">
        <v>0</v>
      </c>
      <c r="AJ56" s="326">
        <v>0</v>
      </c>
      <c r="AK56" s="626">
        <f>SUM(AE56:AJ56)</f>
        <v>0</v>
      </c>
      <c r="AL56" s="696">
        <f>I56+AD56</f>
        <v>1635471</v>
      </c>
      <c r="AM56" s="492">
        <f>J56+U56</f>
        <v>1213257</v>
      </c>
      <c r="AN56" s="492">
        <f>Y56</f>
        <v>0</v>
      </c>
      <c r="AO56" s="492">
        <f t="shared" ref="AO56:AP59" si="81">K56+AA56</f>
        <v>410081</v>
      </c>
      <c r="AP56" s="492">
        <f t="shared" si="81"/>
        <v>12133</v>
      </c>
      <c r="AQ56" s="578">
        <f t="shared" si="7"/>
        <v>0</v>
      </c>
      <c r="AR56" s="626">
        <f>N56+AK56</f>
        <v>2</v>
      </c>
    </row>
    <row r="57" spans="1:44" s="67" customFormat="1" ht="14.1" customHeight="1" x14ac:dyDescent="0.2">
      <c r="A57" s="88">
        <v>9</v>
      </c>
      <c r="B57" s="75">
        <v>2462</v>
      </c>
      <c r="C57" s="64">
        <v>600079813</v>
      </c>
      <c r="D57" s="56">
        <v>72744600</v>
      </c>
      <c r="E57" s="75" t="s">
        <v>699</v>
      </c>
      <c r="F57" s="76">
        <v>3117</v>
      </c>
      <c r="G57" s="75" t="s">
        <v>294</v>
      </c>
      <c r="H57" s="66" t="s">
        <v>262</v>
      </c>
      <c r="I57" s="586">
        <f t="shared" si="0"/>
        <v>3106541</v>
      </c>
      <c r="J57" s="14">
        <v>2304556</v>
      </c>
      <c r="K57" s="14">
        <v>778940</v>
      </c>
      <c r="L57" s="14">
        <v>23045</v>
      </c>
      <c r="M57" s="14">
        <v>0</v>
      </c>
      <c r="N57" s="651">
        <v>3.5257999999999998</v>
      </c>
      <c r="O57" s="440">
        <f t="shared" si="1"/>
        <v>0</v>
      </c>
      <c r="P57" s="325">
        <v>0</v>
      </c>
      <c r="Q57" s="325">
        <v>0</v>
      </c>
      <c r="R57" s="325">
        <v>0</v>
      </c>
      <c r="S57" s="325">
        <v>0</v>
      </c>
      <c r="T57" s="325">
        <v>0</v>
      </c>
      <c r="U57" s="492">
        <f>O57+P57+Q57+R57+S57+T57</f>
        <v>0</v>
      </c>
      <c r="V57" s="325">
        <v>0</v>
      </c>
      <c r="W57" s="325">
        <v>0</v>
      </c>
      <c r="X57" s="325">
        <v>0</v>
      </c>
      <c r="Y57" s="492">
        <f t="shared" si="78"/>
        <v>0</v>
      </c>
      <c r="Z57" s="492">
        <f t="shared" si="79"/>
        <v>0</v>
      </c>
      <c r="AA57" s="494">
        <f t="shared" si="80"/>
        <v>0</v>
      </c>
      <c r="AB57" s="55">
        <f>ROUND(U57*1%,0)</f>
        <v>0</v>
      </c>
      <c r="AC57" s="14">
        <v>0</v>
      </c>
      <c r="AD57" s="622">
        <f t="shared" si="5"/>
        <v>0</v>
      </c>
      <c r="AE57" s="715">
        <v>0</v>
      </c>
      <c r="AF57" s="326">
        <v>0</v>
      </c>
      <c r="AG57" s="326">
        <v>0</v>
      </c>
      <c r="AH57" s="326">
        <v>0</v>
      </c>
      <c r="AI57" s="326">
        <v>0</v>
      </c>
      <c r="AJ57" s="326">
        <v>0</v>
      </c>
      <c r="AK57" s="626">
        <f>SUM(AE57:AJ57)</f>
        <v>0</v>
      </c>
      <c r="AL57" s="696">
        <f>I57+AD57</f>
        <v>3106541</v>
      </c>
      <c r="AM57" s="492">
        <f>J57+U57</f>
        <v>2304556</v>
      </c>
      <c r="AN57" s="492">
        <f>Y57</f>
        <v>0</v>
      </c>
      <c r="AO57" s="492">
        <f t="shared" si="81"/>
        <v>778940</v>
      </c>
      <c r="AP57" s="492">
        <f t="shared" si="81"/>
        <v>23045</v>
      </c>
      <c r="AQ57" s="578">
        <f t="shared" si="7"/>
        <v>0</v>
      </c>
      <c r="AR57" s="626">
        <f>N57+AK57</f>
        <v>3.5257999999999998</v>
      </c>
    </row>
    <row r="58" spans="1:44" s="67" customFormat="1" ht="14.1" customHeight="1" x14ac:dyDescent="0.2">
      <c r="A58" s="88">
        <v>9</v>
      </c>
      <c r="B58" s="73">
        <v>2462</v>
      </c>
      <c r="C58" s="64">
        <v>600079813</v>
      </c>
      <c r="D58" s="56">
        <v>72744600</v>
      </c>
      <c r="E58" s="73" t="s">
        <v>699</v>
      </c>
      <c r="F58" s="65">
        <v>3117</v>
      </c>
      <c r="G58" s="56" t="s">
        <v>278</v>
      </c>
      <c r="H58" s="66" t="s">
        <v>263</v>
      </c>
      <c r="I58" s="586">
        <f t="shared" si="0"/>
        <v>0</v>
      </c>
      <c r="J58" s="423">
        <v>0</v>
      </c>
      <c r="K58" s="14">
        <v>0</v>
      </c>
      <c r="L58" s="14">
        <v>0</v>
      </c>
      <c r="M58" s="14">
        <v>0</v>
      </c>
      <c r="N58" s="725">
        <v>0</v>
      </c>
      <c r="O58" s="440">
        <f t="shared" si="1"/>
        <v>0</v>
      </c>
      <c r="P58" s="423">
        <v>956918</v>
      </c>
      <c r="Q58" s="325">
        <v>0</v>
      </c>
      <c r="R58" s="325">
        <v>0</v>
      </c>
      <c r="S58" s="325">
        <v>0</v>
      </c>
      <c r="T58" s="325">
        <v>0</v>
      </c>
      <c r="U58" s="492">
        <f>O58+P58+Q58+R58+S58+T58</f>
        <v>956918</v>
      </c>
      <c r="V58" s="325">
        <v>0</v>
      </c>
      <c r="W58" s="325">
        <v>0</v>
      </c>
      <c r="X58" s="325">
        <v>0</v>
      </c>
      <c r="Y58" s="492">
        <f t="shared" si="78"/>
        <v>0</v>
      </c>
      <c r="Z58" s="492">
        <f t="shared" si="79"/>
        <v>956918</v>
      </c>
      <c r="AA58" s="494">
        <f t="shared" si="80"/>
        <v>323438</v>
      </c>
      <c r="AB58" s="55">
        <f>ROUND(U58*1%,0)</f>
        <v>9569</v>
      </c>
      <c r="AC58" s="14">
        <v>0</v>
      </c>
      <c r="AD58" s="622">
        <f t="shared" si="5"/>
        <v>1289925</v>
      </c>
      <c r="AE58" s="715">
        <v>0</v>
      </c>
      <c r="AF58" s="729">
        <v>2.3800000000000003</v>
      </c>
      <c r="AG58" s="326">
        <v>0</v>
      </c>
      <c r="AH58" s="326">
        <v>0</v>
      </c>
      <c r="AI58" s="326">
        <v>0</v>
      </c>
      <c r="AJ58" s="326">
        <v>0</v>
      </c>
      <c r="AK58" s="626">
        <f>SUM(AE58:AJ58)</f>
        <v>2.3800000000000003</v>
      </c>
      <c r="AL58" s="696">
        <f>I58+AD58</f>
        <v>1289925</v>
      </c>
      <c r="AM58" s="492">
        <f>J58+U58</f>
        <v>956918</v>
      </c>
      <c r="AN58" s="492">
        <f>Y58</f>
        <v>0</v>
      </c>
      <c r="AO58" s="492">
        <f t="shared" si="81"/>
        <v>323438</v>
      </c>
      <c r="AP58" s="492">
        <f t="shared" si="81"/>
        <v>9569</v>
      </c>
      <c r="AQ58" s="578">
        <f t="shared" si="7"/>
        <v>0</v>
      </c>
      <c r="AR58" s="626">
        <f>N58+AK58</f>
        <v>2.3800000000000003</v>
      </c>
    </row>
    <row r="59" spans="1:44" s="67" customFormat="1" ht="14.1" customHeight="1" x14ac:dyDescent="0.2">
      <c r="A59" s="88">
        <v>9</v>
      </c>
      <c r="B59" s="56">
        <v>2462</v>
      </c>
      <c r="C59" s="64">
        <v>600079813</v>
      </c>
      <c r="D59" s="56">
        <v>72744600</v>
      </c>
      <c r="E59" s="56" t="s">
        <v>699</v>
      </c>
      <c r="F59" s="65">
        <v>3143</v>
      </c>
      <c r="G59" s="56" t="s">
        <v>794</v>
      </c>
      <c r="H59" s="66" t="s">
        <v>262</v>
      </c>
      <c r="I59" s="586">
        <f t="shared" si="0"/>
        <v>738952</v>
      </c>
      <c r="J59" s="14">
        <v>548184</v>
      </c>
      <c r="K59" s="14">
        <v>185286</v>
      </c>
      <c r="L59" s="14">
        <v>5482</v>
      </c>
      <c r="M59" s="14">
        <v>0</v>
      </c>
      <c r="N59" s="651">
        <v>1.0832999999999999</v>
      </c>
      <c r="O59" s="440">
        <f t="shared" si="1"/>
        <v>0</v>
      </c>
      <c r="P59" s="325">
        <v>0</v>
      </c>
      <c r="Q59" s="325">
        <v>0</v>
      </c>
      <c r="R59" s="325">
        <v>0</v>
      </c>
      <c r="S59" s="325">
        <v>0</v>
      </c>
      <c r="T59" s="325">
        <v>0</v>
      </c>
      <c r="U59" s="492">
        <f>O59+P59+Q59+R59+S59+T59</f>
        <v>0</v>
      </c>
      <c r="V59" s="325">
        <v>0</v>
      </c>
      <c r="W59" s="325">
        <v>0</v>
      </c>
      <c r="X59" s="325">
        <v>0</v>
      </c>
      <c r="Y59" s="492">
        <f t="shared" si="78"/>
        <v>0</v>
      </c>
      <c r="Z59" s="492">
        <f t="shared" si="79"/>
        <v>0</v>
      </c>
      <c r="AA59" s="494">
        <f t="shared" si="80"/>
        <v>0</v>
      </c>
      <c r="AB59" s="55">
        <f>ROUND(U59*1%,0)</f>
        <v>0</v>
      </c>
      <c r="AC59" s="14">
        <v>0</v>
      </c>
      <c r="AD59" s="622">
        <f t="shared" si="5"/>
        <v>0</v>
      </c>
      <c r="AE59" s="715">
        <v>0</v>
      </c>
      <c r="AF59" s="326">
        <v>0</v>
      </c>
      <c r="AG59" s="326">
        <v>0</v>
      </c>
      <c r="AH59" s="326">
        <v>0</v>
      </c>
      <c r="AI59" s="326">
        <v>0</v>
      </c>
      <c r="AJ59" s="326">
        <v>0</v>
      </c>
      <c r="AK59" s="626">
        <f>SUM(AE59:AJ59)</f>
        <v>0</v>
      </c>
      <c r="AL59" s="696">
        <f>I59+AD59</f>
        <v>738952</v>
      </c>
      <c r="AM59" s="492">
        <f>J59+U59</f>
        <v>548184</v>
      </c>
      <c r="AN59" s="492">
        <f>Y59</f>
        <v>0</v>
      </c>
      <c r="AO59" s="492">
        <f t="shared" si="81"/>
        <v>185286</v>
      </c>
      <c r="AP59" s="492">
        <f t="shared" si="81"/>
        <v>5482</v>
      </c>
      <c r="AQ59" s="578">
        <f t="shared" si="7"/>
        <v>0</v>
      </c>
      <c r="AR59" s="626">
        <f>N59+AK59</f>
        <v>1.0832999999999999</v>
      </c>
    </row>
    <row r="60" spans="1:44" s="67" customFormat="1" ht="14.1" customHeight="1" x14ac:dyDescent="0.2">
      <c r="A60" s="89">
        <v>9</v>
      </c>
      <c r="B60" s="68">
        <v>2462</v>
      </c>
      <c r="C60" s="69">
        <v>600079813</v>
      </c>
      <c r="D60" s="68">
        <v>72744600</v>
      </c>
      <c r="E60" s="68" t="s">
        <v>700</v>
      </c>
      <c r="F60" s="77"/>
      <c r="G60" s="71"/>
      <c r="H60" s="72"/>
      <c r="I60" s="587">
        <f t="shared" ref="I60:N60" si="82">SUM(I56:I59)</f>
        <v>5480964</v>
      </c>
      <c r="J60" s="334">
        <f t="shared" si="82"/>
        <v>4065997</v>
      </c>
      <c r="K60" s="334">
        <f t="shared" si="82"/>
        <v>1374307</v>
      </c>
      <c r="L60" s="334">
        <f t="shared" si="82"/>
        <v>40660</v>
      </c>
      <c r="M60" s="334">
        <f t="shared" si="82"/>
        <v>0</v>
      </c>
      <c r="N60" s="74">
        <f t="shared" si="82"/>
        <v>6.6090999999999998</v>
      </c>
      <c r="O60" s="719">
        <f t="shared" ref="O60:Y60" si="83">SUM(O56:O59)</f>
        <v>0</v>
      </c>
      <c r="P60" s="334">
        <f t="shared" si="83"/>
        <v>956918</v>
      </c>
      <c r="Q60" s="334">
        <f t="shared" si="83"/>
        <v>0</v>
      </c>
      <c r="R60" s="334">
        <f t="shared" si="83"/>
        <v>0</v>
      </c>
      <c r="S60" s="334">
        <f t="shared" si="83"/>
        <v>0</v>
      </c>
      <c r="T60" s="334">
        <f t="shared" si="83"/>
        <v>0</v>
      </c>
      <c r="U60" s="334">
        <f t="shared" si="83"/>
        <v>956918</v>
      </c>
      <c r="V60" s="334">
        <f t="shared" si="83"/>
        <v>0</v>
      </c>
      <c r="W60" s="334">
        <f t="shared" si="83"/>
        <v>0</v>
      </c>
      <c r="X60" s="334">
        <f t="shared" si="83"/>
        <v>0</v>
      </c>
      <c r="Y60" s="334">
        <f t="shared" si="83"/>
        <v>0</v>
      </c>
      <c r="Z60" s="334">
        <f t="shared" ref="Z60:AR60" si="84">SUM(Z56:Z59)</f>
        <v>956918</v>
      </c>
      <c r="AA60" s="334">
        <f t="shared" si="84"/>
        <v>323438</v>
      </c>
      <c r="AB60" s="334">
        <f t="shared" si="84"/>
        <v>9569</v>
      </c>
      <c r="AC60" s="334">
        <f t="shared" si="84"/>
        <v>0</v>
      </c>
      <c r="AD60" s="712">
        <f t="shared" si="84"/>
        <v>1289925</v>
      </c>
      <c r="AE60" s="716">
        <f t="shared" si="84"/>
        <v>0</v>
      </c>
      <c r="AF60" s="335">
        <f t="shared" si="84"/>
        <v>2.3800000000000003</v>
      </c>
      <c r="AG60" s="335">
        <f t="shared" si="84"/>
        <v>0</v>
      </c>
      <c r="AH60" s="335">
        <f t="shared" si="84"/>
        <v>0</v>
      </c>
      <c r="AI60" s="335">
        <f t="shared" si="84"/>
        <v>0</v>
      </c>
      <c r="AJ60" s="335">
        <f t="shared" si="84"/>
        <v>0</v>
      </c>
      <c r="AK60" s="74">
        <f t="shared" si="84"/>
        <v>2.3800000000000003</v>
      </c>
      <c r="AL60" s="589">
        <f t="shared" si="84"/>
        <v>6770889</v>
      </c>
      <c r="AM60" s="557">
        <f t="shared" si="84"/>
        <v>5022915</v>
      </c>
      <c r="AN60" s="557">
        <f t="shared" si="84"/>
        <v>0</v>
      </c>
      <c r="AO60" s="557">
        <f t="shared" si="84"/>
        <v>1697745</v>
      </c>
      <c r="AP60" s="557">
        <f t="shared" si="84"/>
        <v>50229</v>
      </c>
      <c r="AQ60" s="557">
        <f t="shared" si="84"/>
        <v>0</v>
      </c>
      <c r="AR60" s="590">
        <f t="shared" si="84"/>
        <v>8.9891000000000005</v>
      </c>
    </row>
    <row r="61" spans="1:44" s="67" customFormat="1" ht="14.1" customHeight="1" x14ac:dyDescent="0.2">
      <c r="A61" s="88">
        <v>10</v>
      </c>
      <c r="B61" s="73">
        <v>2464</v>
      </c>
      <c r="C61" s="64">
        <v>600080081</v>
      </c>
      <c r="D61" s="56">
        <v>72753846</v>
      </c>
      <c r="E61" s="56" t="s">
        <v>701</v>
      </c>
      <c r="F61" s="65">
        <v>3111</v>
      </c>
      <c r="G61" s="56" t="s">
        <v>277</v>
      </c>
      <c r="H61" s="66" t="s">
        <v>262</v>
      </c>
      <c r="I61" s="586">
        <f t="shared" si="0"/>
        <v>1690202</v>
      </c>
      <c r="J61" s="14">
        <v>1253859</v>
      </c>
      <c r="K61" s="14">
        <v>423804</v>
      </c>
      <c r="L61" s="14">
        <v>12539</v>
      </c>
      <c r="M61" s="14">
        <v>0</v>
      </c>
      <c r="N61" s="651">
        <v>2.2562000000000002</v>
      </c>
      <c r="O61" s="440">
        <f t="shared" ref="O61:O101" si="85">V61*-1</f>
        <v>0</v>
      </c>
      <c r="P61" s="325">
        <v>0</v>
      </c>
      <c r="Q61" s="325">
        <v>0</v>
      </c>
      <c r="R61" s="325">
        <v>0</v>
      </c>
      <c r="S61" s="325">
        <v>0</v>
      </c>
      <c r="T61" s="325">
        <v>0</v>
      </c>
      <c r="U61" s="492">
        <f>O61+P61+Q61+R61+S61+T61</f>
        <v>0</v>
      </c>
      <c r="V61" s="325">
        <v>0</v>
      </c>
      <c r="W61" s="325">
        <v>0</v>
      </c>
      <c r="X61" s="325">
        <v>0</v>
      </c>
      <c r="Y61" s="492">
        <f t="shared" ref="Y61:Y64" si="86">V61+W61+X61</f>
        <v>0</v>
      </c>
      <c r="Z61" s="492">
        <f t="shared" ref="Z61:Z64" si="87">U61+Y61</f>
        <v>0</v>
      </c>
      <c r="AA61" s="494">
        <f t="shared" ref="AA61:AA64" si="88">ROUND((U61+Y61)*33.8%,0)</f>
        <v>0</v>
      </c>
      <c r="AB61" s="55">
        <f>ROUND(U61*1%,0)</f>
        <v>0</v>
      </c>
      <c r="AC61" s="14">
        <v>0</v>
      </c>
      <c r="AD61" s="622">
        <f t="shared" si="5"/>
        <v>0</v>
      </c>
      <c r="AE61" s="715">
        <v>0</v>
      </c>
      <c r="AF61" s="326">
        <v>0</v>
      </c>
      <c r="AG61" s="326">
        <v>0</v>
      </c>
      <c r="AH61" s="326">
        <v>0</v>
      </c>
      <c r="AI61" s="326">
        <v>0</v>
      </c>
      <c r="AJ61" s="326">
        <v>0</v>
      </c>
      <c r="AK61" s="626">
        <f>SUM(AE61:AJ61)</f>
        <v>0</v>
      </c>
      <c r="AL61" s="696">
        <f>I61+AD61</f>
        <v>1690202</v>
      </c>
      <c r="AM61" s="492">
        <f>J61+U61</f>
        <v>1253859</v>
      </c>
      <c r="AN61" s="492">
        <f>Y61</f>
        <v>0</v>
      </c>
      <c r="AO61" s="492">
        <f t="shared" ref="AO61:AP64" si="89">K61+AA61</f>
        <v>423804</v>
      </c>
      <c r="AP61" s="492">
        <f t="shared" si="89"/>
        <v>12539</v>
      </c>
      <c r="AQ61" s="578">
        <f t="shared" si="7"/>
        <v>0</v>
      </c>
      <c r="AR61" s="626">
        <f>N61+AK61</f>
        <v>2.2562000000000002</v>
      </c>
    </row>
    <row r="62" spans="1:44" s="67" customFormat="1" ht="14.1" customHeight="1" x14ac:dyDescent="0.2">
      <c r="A62" s="88">
        <v>10</v>
      </c>
      <c r="B62" s="75">
        <v>2464</v>
      </c>
      <c r="C62" s="64">
        <v>600080081</v>
      </c>
      <c r="D62" s="56">
        <v>72753846</v>
      </c>
      <c r="E62" s="75" t="s">
        <v>701</v>
      </c>
      <c r="F62" s="76">
        <v>3117</v>
      </c>
      <c r="G62" s="75" t="s">
        <v>294</v>
      </c>
      <c r="H62" s="66" t="s">
        <v>262</v>
      </c>
      <c r="I62" s="586">
        <f t="shared" si="0"/>
        <v>879713</v>
      </c>
      <c r="J62" s="14">
        <v>652606</v>
      </c>
      <c r="K62" s="14">
        <v>220581</v>
      </c>
      <c r="L62" s="14">
        <v>6526</v>
      </c>
      <c r="M62" s="14">
        <v>0</v>
      </c>
      <c r="N62" s="651">
        <v>1.1394</v>
      </c>
      <c r="O62" s="440">
        <f t="shared" si="85"/>
        <v>0</v>
      </c>
      <c r="P62" s="325">
        <v>0</v>
      </c>
      <c r="Q62" s="325">
        <v>0</v>
      </c>
      <c r="R62" s="325">
        <v>0</v>
      </c>
      <c r="S62" s="325">
        <v>0</v>
      </c>
      <c r="T62" s="325">
        <v>0</v>
      </c>
      <c r="U62" s="492">
        <f>O62+P62+Q62+R62+S62+T62</f>
        <v>0</v>
      </c>
      <c r="V62" s="325">
        <v>0</v>
      </c>
      <c r="W62" s="325">
        <v>0</v>
      </c>
      <c r="X62" s="325">
        <v>0</v>
      </c>
      <c r="Y62" s="492">
        <f t="shared" si="86"/>
        <v>0</v>
      </c>
      <c r="Z62" s="492">
        <f t="shared" si="87"/>
        <v>0</v>
      </c>
      <c r="AA62" s="494">
        <f t="shared" si="88"/>
        <v>0</v>
      </c>
      <c r="AB62" s="55">
        <f>ROUND(U62*1%,0)</f>
        <v>0</v>
      </c>
      <c r="AC62" s="14">
        <v>0</v>
      </c>
      <c r="AD62" s="622">
        <f t="shared" si="5"/>
        <v>0</v>
      </c>
      <c r="AE62" s="715">
        <v>0</v>
      </c>
      <c r="AF62" s="326">
        <v>0</v>
      </c>
      <c r="AG62" s="326">
        <v>0</v>
      </c>
      <c r="AH62" s="326">
        <v>0</v>
      </c>
      <c r="AI62" s="326">
        <v>0</v>
      </c>
      <c r="AJ62" s="326">
        <v>0</v>
      </c>
      <c r="AK62" s="626">
        <f>SUM(AE62:AJ62)</f>
        <v>0</v>
      </c>
      <c r="AL62" s="696">
        <f>I62+AD62</f>
        <v>879713</v>
      </c>
      <c r="AM62" s="492">
        <f>J62+U62</f>
        <v>652606</v>
      </c>
      <c r="AN62" s="492">
        <f>Y62</f>
        <v>0</v>
      </c>
      <c r="AO62" s="492">
        <f t="shared" si="89"/>
        <v>220581</v>
      </c>
      <c r="AP62" s="492">
        <f t="shared" si="89"/>
        <v>6526</v>
      </c>
      <c r="AQ62" s="578">
        <f t="shared" si="7"/>
        <v>0</v>
      </c>
      <c r="AR62" s="626">
        <f>N62+AK62</f>
        <v>1.1394</v>
      </c>
    </row>
    <row r="63" spans="1:44" s="67" customFormat="1" ht="14.1" customHeight="1" x14ac:dyDescent="0.2">
      <c r="A63" s="88">
        <v>10</v>
      </c>
      <c r="B63" s="73">
        <v>2464</v>
      </c>
      <c r="C63" s="64">
        <v>600080081</v>
      </c>
      <c r="D63" s="56">
        <v>72753846</v>
      </c>
      <c r="E63" s="73" t="s">
        <v>701</v>
      </c>
      <c r="F63" s="65">
        <v>3117</v>
      </c>
      <c r="G63" s="56" t="s">
        <v>278</v>
      </c>
      <c r="H63" s="66" t="s">
        <v>263</v>
      </c>
      <c r="I63" s="586">
        <f t="shared" si="0"/>
        <v>0</v>
      </c>
      <c r="J63" s="423">
        <v>0</v>
      </c>
      <c r="K63" s="14">
        <v>0</v>
      </c>
      <c r="L63" s="14">
        <v>0</v>
      </c>
      <c r="M63" s="14">
        <v>0</v>
      </c>
      <c r="N63" s="725">
        <v>0</v>
      </c>
      <c r="O63" s="440">
        <f t="shared" si="85"/>
        <v>0</v>
      </c>
      <c r="P63" s="423">
        <v>396847</v>
      </c>
      <c r="Q63" s="325">
        <v>0</v>
      </c>
      <c r="R63" s="325">
        <v>0</v>
      </c>
      <c r="S63" s="325">
        <v>0</v>
      </c>
      <c r="T63" s="325">
        <v>0</v>
      </c>
      <c r="U63" s="492">
        <f>O63+P63+Q63+R63+S63+T63</f>
        <v>396847</v>
      </c>
      <c r="V63" s="325">
        <v>0</v>
      </c>
      <c r="W63" s="325">
        <v>0</v>
      </c>
      <c r="X63" s="325">
        <v>0</v>
      </c>
      <c r="Y63" s="492">
        <f t="shared" si="86"/>
        <v>0</v>
      </c>
      <c r="Z63" s="492">
        <f t="shared" si="87"/>
        <v>396847</v>
      </c>
      <c r="AA63" s="494">
        <f t="shared" si="88"/>
        <v>134134</v>
      </c>
      <c r="AB63" s="55">
        <f>ROUND(U63*1%,0)</f>
        <v>3968</v>
      </c>
      <c r="AC63" s="14">
        <v>0</v>
      </c>
      <c r="AD63" s="622">
        <f t="shared" si="5"/>
        <v>534949</v>
      </c>
      <c r="AE63" s="715">
        <v>0</v>
      </c>
      <c r="AF63" s="729">
        <v>1</v>
      </c>
      <c r="AG63" s="326">
        <v>0</v>
      </c>
      <c r="AH63" s="326">
        <v>0</v>
      </c>
      <c r="AI63" s="326">
        <v>0</v>
      </c>
      <c r="AJ63" s="326">
        <v>0</v>
      </c>
      <c r="AK63" s="626">
        <f>SUM(AE63:AJ63)</f>
        <v>1</v>
      </c>
      <c r="AL63" s="696">
        <f>I63+AD63</f>
        <v>534949</v>
      </c>
      <c r="AM63" s="492">
        <f>J63+U63</f>
        <v>396847</v>
      </c>
      <c r="AN63" s="492">
        <f>Y63</f>
        <v>0</v>
      </c>
      <c r="AO63" s="492">
        <f t="shared" si="89"/>
        <v>134134</v>
      </c>
      <c r="AP63" s="492">
        <f t="shared" si="89"/>
        <v>3968</v>
      </c>
      <c r="AQ63" s="578">
        <f t="shared" si="7"/>
        <v>0</v>
      </c>
      <c r="AR63" s="626">
        <f>N63+AK63</f>
        <v>1</v>
      </c>
    </row>
    <row r="64" spans="1:44" s="67" customFormat="1" ht="14.1" customHeight="1" x14ac:dyDescent="0.2">
      <c r="A64" s="88">
        <v>10</v>
      </c>
      <c r="B64" s="56">
        <v>2464</v>
      </c>
      <c r="C64" s="64">
        <v>600080081</v>
      </c>
      <c r="D64" s="56">
        <v>72753846</v>
      </c>
      <c r="E64" s="56" t="s">
        <v>701</v>
      </c>
      <c r="F64" s="65">
        <v>3143</v>
      </c>
      <c r="G64" s="56" t="s">
        <v>795</v>
      </c>
      <c r="H64" s="66" t="s">
        <v>262</v>
      </c>
      <c r="I64" s="586">
        <f t="shared" si="0"/>
        <v>668888</v>
      </c>
      <c r="J64" s="14">
        <v>496208</v>
      </c>
      <c r="K64" s="14">
        <v>167718</v>
      </c>
      <c r="L64" s="14">
        <v>4962</v>
      </c>
      <c r="M64" s="14">
        <v>0</v>
      </c>
      <c r="N64" s="651">
        <v>1.0832999999999999</v>
      </c>
      <c r="O64" s="440">
        <f t="shared" si="85"/>
        <v>0</v>
      </c>
      <c r="P64" s="325">
        <v>0</v>
      </c>
      <c r="Q64" s="325">
        <v>0</v>
      </c>
      <c r="R64" s="325">
        <v>0</v>
      </c>
      <c r="S64" s="325">
        <v>0</v>
      </c>
      <c r="T64" s="325">
        <v>0</v>
      </c>
      <c r="U64" s="492">
        <f>O64+P64+Q64+R64+S64+T64</f>
        <v>0</v>
      </c>
      <c r="V64" s="325">
        <v>0</v>
      </c>
      <c r="W64" s="325">
        <v>0</v>
      </c>
      <c r="X64" s="325">
        <v>0</v>
      </c>
      <c r="Y64" s="492">
        <f t="shared" si="86"/>
        <v>0</v>
      </c>
      <c r="Z64" s="492">
        <f t="shared" si="87"/>
        <v>0</v>
      </c>
      <c r="AA64" s="494">
        <f t="shared" si="88"/>
        <v>0</v>
      </c>
      <c r="AB64" s="55">
        <f>ROUND(U64*1%,0)</f>
        <v>0</v>
      </c>
      <c r="AC64" s="14">
        <v>0</v>
      </c>
      <c r="AD64" s="622">
        <f t="shared" si="5"/>
        <v>0</v>
      </c>
      <c r="AE64" s="715">
        <v>0</v>
      </c>
      <c r="AF64" s="326">
        <v>0</v>
      </c>
      <c r="AG64" s="326">
        <v>0</v>
      </c>
      <c r="AH64" s="326">
        <v>0</v>
      </c>
      <c r="AI64" s="326">
        <v>0</v>
      </c>
      <c r="AJ64" s="326">
        <v>0</v>
      </c>
      <c r="AK64" s="626">
        <f>SUM(AE64:AJ64)</f>
        <v>0</v>
      </c>
      <c r="AL64" s="696">
        <f>I64+AD64</f>
        <v>668888</v>
      </c>
      <c r="AM64" s="492">
        <f>J64+U64</f>
        <v>496208</v>
      </c>
      <c r="AN64" s="492">
        <f>Y64</f>
        <v>0</v>
      </c>
      <c r="AO64" s="492">
        <f t="shared" si="89"/>
        <v>167718</v>
      </c>
      <c r="AP64" s="492">
        <f t="shared" si="89"/>
        <v>4962</v>
      </c>
      <c r="AQ64" s="578">
        <f t="shared" si="7"/>
        <v>0</v>
      </c>
      <c r="AR64" s="626">
        <f>N64+AK64</f>
        <v>1.0832999999999999</v>
      </c>
    </row>
    <row r="65" spans="1:44" s="67" customFormat="1" ht="14.1" customHeight="1" x14ac:dyDescent="0.2">
      <c r="A65" s="89">
        <v>10</v>
      </c>
      <c r="B65" s="68">
        <v>2464</v>
      </c>
      <c r="C65" s="69">
        <v>600080081</v>
      </c>
      <c r="D65" s="68">
        <v>72753846</v>
      </c>
      <c r="E65" s="68" t="s">
        <v>702</v>
      </c>
      <c r="F65" s="77"/>
      <c r="G65" s="71"/>
      <c r="H65" s="72"/>
      <c r="I65" s="587">
        <f t="shared" ref="I65:N65" si="90">SUM(I61:I64)</f>
        <v>3238803</v>
      </c>
      <c r="J65" s="334">
        <f t="shared" si="90"/>
        <v>2402673</v>
      </c>
      <c r="K65" s="334">
        <f t="shared" si="90"/>
        <v>812103</v>
      </c>
      <c r="L65" s="334">
        <f t="shared" si="90"/>
        <v>24027</v>
      </c>
      <c r="M65" s="334">
        <f t="shared" si="90"/>
        <v>0</v>
      </c>
      <c r="N65" s="74">
        <f t="shared" si="90"/>
        <v>4.4788999999999994</v>
      </c>
      <c r="O65" s="719">
        <f t="shared" ref="O65:Y65" si="91">SUM(O61:O64)</f>
        <v>0</v>
      </c>
      <c r="P65" s="334">
        <f t="shared" si="91"/>
        <v>396847</v>
      </c>
      <c r="Q65" s="334">
        <f t="shared" si="91"/>
        <v>0</v>
      </c>
      <c r="R65" s="334">
        <f t="shared" si="91"/>
        <v>0</v>
      </c>
      <c r="S65" s="334">
        <f t="shared" si="91"/>
        <v>0</v>
      </c>
      <c r="T65" s="334">
        <f t="shared" si="91"/>
        <v>0</v>
      </c>
      <c r="U65" s="334">
        <f t="shared" si="91"/>
        <v>396847</v>
      </c>
      <c r="V65" s="334">
        <f t="shared" si="91"/>
        <v>0</v>
      </c>
      <c r="W65" s="334">
        <f t="shared" si="91"/>
        <v>0</v>
      </c>
      <c r="X65" s="334">
        <f t="shared" si="91"/>
        <v>0</v>
      </c>
      <c r="Y65" s="334">
        <f t="shared" si="91"/>
        <v>0</v>
      </c>
      <c r="Z65" s="334">
        <f t="shared" ref="Z65:AR65" si="92">SUM(Z61:Z64)</f>
        <v>396847</v>
      </c>
      <c r="AA65" s="334">
        <f t="shared" si="92"/>
        <v>134134</v>
      </c>
      <c r="AB65" s="334">
        <f t="shared" si="92"/>
        <v>3968</v>
      </c>
      <c r="AC65" s="334">
        <f t="shared" si="92"/>
        <v>0</v>
      </c>
      <c r="AD65" s="712">
        <f t="shared" si="92"/>
        <v>534949</v>
      </c>
      <c r="AE65" s="716">
        <f t="shared" si="92"/>
        <v>0</v>
      </c>
      <c r="AF65" s="335">
        <f t="shared" si="92"/>
        <v>1</v>
      </c>
      <c r="AG65" s="335">
        <f t="shared" si="92"/>
        <v>0</v>
      </c>
      <c r="AH65" s="335">
        <f t="shared" si="92"/>
        <v>0</v>
      </c>
      <c r="AI65" s="335">
        <f t="shared" si="92"/>
        <v>0</v>
      </c>
      <c r="AJ65" s="335">
        <f t="shared" si="92"/>
        <v>0</v>
      </c>
      <c r="AK65" s="74">
        <f t="shared" si="92"/>
        <v>1</v>
      </c>
      <c r="AL65" s="589">
        <f t="shared" si="92"/>
        <v>3773752</v>
      </c>
      <c r="AM65" s="557">
        <f t="shared" si="92"/>
        <v>2799520</v>
      </c>
      <c r="AN65" s="557">
        <f t="shared" si="92"/>
        <v>0</v>
      </c>
      <c r="AO65" s="557">
        <f t="shared" si="92"/>
        <v>946237</v>
      </c>
      <c r="AP65" s="557">
        <f t="shared" si="92"/>
        <v>27995</v>
      </c>
      <c r="AQ65" s="557">
        <f t="shared" si="92"/>
        <v>0</v>
      </c>
      <c r="AR65" s="590">
        <f t="shared" si="92"/>
        <v>5.4788999999999994</v>
      </c>
    </row>
    <row r="66" spans="1:44" s="67" customFormat="1" ht="14.1" customHeight="1" x14ac:dyDescent="0.2">
      <c r="A66" s="88">
        <v>11</v>
      </c>
      <c r="B66" s="73">
        <v>2467</v>
      </c>
      <c r="C66" s="64">
        <v>600079708</v>
      </c>
      <c r="D66" s="56">
        <v>71012303</v>
      </c>
      <c r="E66" s="399" t="s">
        <v>703</v>
      </c>
      <c r="F66" s="65">
        <v>3111</v>
      </c>
      <c r="G66" s="56" t="s">
        <v>277</v>
      </c>
      <c r="H66" s="66" t="s">
        <v>262</v>
      </c>
      <c r="I66" s="586">
        <f t="shared" si="0"/>
        <v>1697536</v>
      </c>
      <c r="J66" s="14">
        <v>1259300</v>
      </c>
      <c r="K66" s="14">
        <v>425643</v>
      </c>
      <c r="L66" s="14">
        <v>12593</v>
      </c>
      <c r="M66" s="14">
        <v>0</v>
      </c>
      <c r="N66" s="651">
        <v>2.1</v>
      </c>
      <c r="O66" s="440">
        <f t="shared" si="85"/>
        <v>-13200</v>
      </c>
      <c r="P66" s="325">
        <v>0</v>
      </c>
      <c r="Q66" s="325">
        <v>0</v>
      </c>
      <c r="R66" s="325">
        <v>0</v>
      </c>
      <c r="S66" s="325">
        <v>0</v>
      </c>
      <c r="T66" s="325">
        <v>0</v>
      </c>
      <c r="U66" s="492">
        <f>O66+P66+Q66+R66+S66+T66</f>
        <v>-13200</v>
      </c>
      <c r="V66" s="325">
        <v>13200</v>
      </c>
      <c r="W66" s="325">
        <v>0</v>
      </c>
      <c r="X66" s="325">
        <v>0</v>
      </c>
      <c r="Y66" s="492">
        <f t="shared" ref="Y66:Y67" si="93">V66+W66+X66</f>
        <v>13200</v>
      </c>
      <c r="Z66" s="492">
        <f t="shared" ref="Z66:Z67" si="94">U66+Y66</f>
        <v>0</v>
      </c>
      <c r="AA66" s="494">
        <f t="shared" ref="AA66:AA67" si="95">ROUND((U66+Y66)*33.8%,0)</f>
        <v>0</v>
      </c>
      <c r="AB66" s="55">
        <f>ROUND(U66*1%,0)</f>
        <v>-132</v>
      </c>
      <c r="AC66" s="14">
        <v>0</v>
      </c>
      <c r="AD66" s="622">
        <f t="shared" si="5"/>
        <v>-132</v>
      </c>
      <c r="AE66" s="715">
        <v>-0.02</v>
      </c>
      <c r="AF66" s="326">
        <v>0</v>
      </c>
      <c r="AG66" s="326">
        <v>0</v>
      </c>
      <c r="AH66" s="326">
        <v>0</v>
      </c>
      <c r="AI66" s="326">
        <v>0</v>
      </c>
      <c r="AJ66" s="326">
        <v>0</v>
      </c>
      <c r="AK66" s="626">
        <f>SUM(AE66:AJ66)</f>
        <v>-0.02</v>
      </c>
      <c r="AL66" s="696">
        <f>I66+AD66</f>
        <v>1697404</v>
      </c>
      <c r="AM66" s="492">
        <f>J66+U66</f>
        <v>1246100</v>
      </c>
      <c r="AN66" s="492">
        <f>Y66</f>
        <v>13200</v>
      </c>
      <c r="AO66" s="492">
        <f>K66+AA66</f>
        <v>425643</v>
      </c>
      <c r="AP66" s="492">
        <f>L66+AB66</f>
        <v>12461</v>
      </c>
      <c r="AQ66" s="578">
        <f t="shared" si="7"/>
        <v>0</v>
      </c>
      <c r="AR66" s="626">
        <f>N66+AK66</f>
        <v>2.08</v>
      </c>
    </row>
    <row r="67" spans="1:44" s="67" customFormat="1" ht="14.1" customHeight="1" x14ac:dyDescent="0.2">
      <c r="A67" s="88">
        <v>11</v>
      </c>
      <c r="B67" s="73">
        <v>2467</v>
      </c>
      <c r="C67" s="64">
        <v>600079708</v>
      </c>
      <c r="D67" s="56">
        <v>71012303</v>
      </c>
      <c r="E67" s="400" t="s">
        <v>703</v>
      </c>
      <c r="F67" s="65">
        <v>3111</v>
      </c>
      <c r="G67" s="56" t="s">
        <v>278</v>
      </c>
      <c r="H67" s="66" t="s">
        <v>263</v>
      </c>
      <c r="I67" s="586">
        <f t="shared" si="0"/>
        <v>0</v>
      </c>
      <c r="J67" s="423">
        <v>0</v>
      </c>
      <c r="K67" s="14">
        <v>0</v>
      </c>
      <c r="L67" s="14">
        <v>0</v>
      </c>
      <c r="M67" s="14">
        <v>0</v>
      </c>
      <c r="N67" s="725">
        <v>0</v>
      </c>
      <c r="O67" s="440">
        <f t="shared" si="85"/>
        <v>0</v>
      </c>
      <c r="P67" s="325">
        <v>0</v>
      </c>
      <c r="Q67" s="325">
        <v>0</v>
      </c>
      <c r="R67" s="325">
        <v>0</v>
      </c>
      <c r="S67" s="325">
        <v>0</v>
      </c>
      <c r="T67" s="325">
        <v>0</v>
      </c>
      <c r="U67" s="492">
        <f>O67+P67+Q67+R67+S67+T67</f>
        <v>0</v>
      </c>
      <c r="V67" s="325">
        <v>0</v>
      </c>
      <c r="W67" s="325">
        <v>0</v>
      </c>
      <c r="X67" s="325">
        <v>0</v>
      </c>
      <c r="Y67" s="492">
        <f t="shared" si="93"/>
        <v>0</v>
      </c>
      <c r="Z67" s="492">
        <f t="shared" si="94"/>
        <v>0</v>
      </c>
      <c r="AA67" s="494">
        <f t="shared" si="95"/>
        <v>0</v>
      </c>
      <c r="AB67" s="55">
        <f>ROUND(U67*1%,0)</f>
        <v>0</v>
      </c>
      <c r="AC67" s="14">
        <v>0</v>
      </c>
      <c r="AD67" s="622">
        <f t="shared" si="5"/>
        <v>0</v>
      </c>
      <c r="AE67" s="715">
        <v>0</v>
      </c>
      <c r="AF67" s="326">
        <v>0</v>
      </c>
      <c r="AG67" s="326">
        <v>0</v>
      </c>
      <c r="AH67" s="326">
        <v>0</v>
      </c>
      <c r="AI67" s="326">
        <v>0</v>
      </c>
      <c r="AJ67" s="326">
        <v>0</v>
      </c>
      <c r="AK67" s="626">
        <f>SUM(AE67:AJ67)</f>
        <v>0</v>
      </c>
      <c r="AL67" s="696">
        <f>I67+AD67</f>
        <v>0</v>
      </c>
      <c r="AM67" s="492">
        <f>J67+U67</f>
        <v>0</v>
      </c>
      <c r="AN67" s="492">
        <f>Y67</f>
        <v>0</v>
      </c>
      <c r="AO67" s="492">
        <f>K67+AA67</f>
        <v>0</v>
      </c>
      <c r="AP67" s="492">
        <f>L67+AB67</f>
        <v>0</v>
      </c>
      <c r="AQ67" s="578">
        <f t="shared" si="7"/>
        <v>0</v>
      </c>
      <c r="AR67" s="626">
        <f>N67+AK67</f>
        <v>0</v>
      </c>
    </row>
    <row r="68" spans="1:44" s="67" customFormat="1" ht="14.1" customHeight="1" x14ac:dyDescent="0.2">
      <c r="A68" s="89">
        <v>11</v>
      </c>
      <c r="B68" s="68">
        <v>2467</v>
      </c>
      <c r="C68" s="69">
        <v>600079708</v>
      </c>
      <c r="D68" s="68">
        <v>71012303</v>
      </c>
      <c r="E68" s="68" t="s">
        <v>704</v>
      </c>
      <c r="F68" s="77"/>
      <c r="G68" s="71"/>
      <c r="H68" s="72"/>
      <c r="I68" s="587">
        <f t="shared" ref="I68:N68" si="96">SUM(I66:I67)</f>
        <v>1697536</v>
      </c>
      <c r="J68" s="334">
        <f t="shared" si="96"/>
        <v>1259300</v>
      </c>
      <c r="K68" s="334">
        <f t="shared" si="96"/>
        <v>425643</v>
      </c>
      <c r="L68" s="334">
        <f t="shared" si="96"/>
        <v>12593</v>
      </c>
      <c r="M68" s="334">
        <f t="shared" si="96"/>
        <v>0</v>
      </c>
      <c r="N68" s="74">
        <f t="shared" si="96"/>
        <v>2.1</v>
      </c>
      <c r="O68" s="719">
        <f t="shared" ref="O68:Y68" si="97">SUM(O66:O67)</f>
        <v>-13200</v>
      </c>
      <c r="P68" s="334">
        <f t="shared" si="97"/>
        <v>0</v>
      </c>
      <c r="Q68" s="334">
        <f t="shared" si="97"/>
        <v>0</v>
      </c>
      <c r="R68" s="334">
        <f t="shared" si="97"/>
        <v>0</v>
      </c>
      <c r="S68" s="334">
        <f t="shared" si="97"/>
        <v>0</v>
      </c>
      <c r="T68" s="334">
        <f t="shared" si="97"/>
        <v>0</v>
      </c>
      <c r="U68" s="334">
        <f t="shared" si="97"/>
        <v>-13200</v>
      </c>
      <c r="V68" s="334">
        <f t="shared" si="97"/>
        <v>13200</v>
      </c>
      <c r="W68" s="334">
        <f t="shared" si="97"/>
        <v>0</v>
      </c>
      <c r="X68" s="334">
        <f t="shared" si="97"/>
        <v>0</v>
      </c>
      <c r="Y68" s="334">
        <f t="shared" si="97"/>
        <v>13200</v>
      </c>
      <c r="Z68" s="334">
        <f t="shared" ref="Z68:AR68" si="98">SUM(Z66:Z67)</f>
        <v>0</v>
      </c>
      <c r="AA68" s="334">
        <f t="shared" si="98"/>
        <v>0</v>
      </c>
      <c r="AB68" s="334">
        <f t="shared" si="98"/>
        <v>-132</v>
      </c>
      <c r="AC68" s="334">
        <f t="shared" si="98"/>
        <v>0</v>
      </c>
      <c r="AD68" s="712">
        <f t="shared" si="98"/>
        <v>-132</v>
      </c>
      <c r="AE68" s="716">
        <f t="shared" si="98"/>
        <v>-0.02</v>
      </c>
      <c r="AF68" s="335">
        <f t="shared" si="98"/>
        <v>0</v>
      </c>
      <c r="AG68" s="335">
        <f t="shared" si="98"/>
        <v>0</v>
      </c>
      <c r="AH68" s="335">
        <f t="shared" si="98"/>
        <v>0</v>
      </c>
      <c r="AI68" s="335">
        <f t="shared" si="98"/>
        <v>0</v>
      </c>
      <c r="AJ68" s="335">
        <f t="shared" si="98"/>
        <v>0</v>
      </c>
      <c r="AK68" s="74">
        <f t="shared" si="98"/>
        <v>-0.02</v>
      </c>
      <c r="AL68" s="589">
        <f t="shared" si="98"/>
        <v>1697404</v>
      </c>
      <c r="AM68" s="557">
        <f t="shared" si="98"/>
        <v>1246100</v>
      </c>
      <c r="AN68" s="557">
        <f t="shared" si="98"/>
        <v>13200</v>
      </c>
      <c r="AO68" s="557">
        <f t="shared" si="98"/>
        <v>425643</v>
      </c>
      <c r="AP68" s="557">
        <f t="shared" si="98"/>
        <v>12461</v>
      </c>
      <c r="AQ68" s="557">
        <f t="shared" si="98"/>
        <v>0</v>
      </c>
      <c r="AR68" s="590">
        <f t="shared" si="98"/>
        <v>2.08</v>
      </c>
    </row>
    <row r="69" spans="1:44" s="67" customFormat="1" ht="14.1" customHeight="1" x14ac:dyDescent="0.2">
      <c r="A69" s="88">
        <v>12</v>
      </c>
      <c r="B69" s="73">
        <v>2408</v>
      </c>
      <c r="C69" s="64">
        <v>600079058</v>
      </c>
      <c r="D69" s="56">
        <v>72741511</v>
      </c>
      <c r="E69" s="56" t="s">
        <v>705</v>
      </c>
      <c r="F69" s="65">
        <v>3111</v>
      </c>
      <c r="G69" s="56" t="s">
        <v>277</v>
      </c>
      <c r="H69" s="66" t="s">
        <v>262</v>
      </c>
      <c r="I69" s="586">
        <f t="shared" si="0"/>
        <v>1980001</v>
      </c>
      <c r="J69" s="14">
        <v>1468844</v>
      </c>
      <c r="K69" s="14">
        <v>496469</v>
      </c>
      <c r="L69" s="14">
        <v>14688</v>
      </c>
      <c r="M69" s="14">
        <v>0</v>
      </c>
      <c r="N69" s="651">
        <v>2.371</v>
      </c>
      <c r="O69" s="440">
        <f t="shared" si="85"/>
        <v>0</v>
      </c>
      <c r="P69" s="325">
        <v>0</v>
      </c>
      <c r="Q69" s="325">
        <v>0</v>
      </c>
      <c r="R69" s="325">
        <v>0</v>
      </c>
      <c r="S69" s="325">
        <v>0</v>
      </c>
      <c r="T69" s="325">
        <v>0</v>
      </c>
      <c r="U69" s="492">
        <f>O69+P69+Q69+R69+S69+T69</f>
        <v>0</v>
      </c>
      <c r="V69" s="325">
        <v>0</v>
      </c>
      <c r="W69" s="325">
        <v>0</v>
      </c>
      <c r="X69" s="325">
        <v>0</v>
      </c>
      <c r="Y69" s="492">
        <f t="shared" ref="Y69:Y70" si="99">V69+W69+X69</f>
        <v>0</v>
      </c>
      <c r="Z69" s="492">
        <f t="shared" ref="Z69:Z70" si="100">U69+Y69</f>
        <v>0</v>
      </c>
      <c r="AA69" s="494">
        <f t="shared" ref="AA69:AA70" si="101">ROUND((U69+Y69)*33.8%,0)</f>
        <v>0</v>
      </c>
      <c r="AB69" s="55">
        <f>ROUND(U69*1%,0)</f>
        <v>0</v>
      </c>
      <c r="AC69" s="14">
        <v>0</v>
      </c>
      <c r="AD69" s="622">
        <f t="shared" si="5"/>
        <v>0</v>
      </c>
      <c r="AE69" s="715">
        <v>0</v>
      </c>
      <c r="AF69" s="326">
        <v>0</v>
      </c>
      <c r="AG69" s="326">
        <v>0</v>
      </c>
      <c r="AH69" s="326">
        <v>0</v>
      </c>
      <c r="AI69" s="326">
        <v>0</v>
      </c>
      <c r="AJ69" s="326">
        <v>0</v>
      </c>
      <c r="AK69" s="626">
        <f>SUM(AE69:AJ69)</f>
        <v>0</v>
      </c>
      <c r="AL69" s="696">
        <f>I69+AD69</f>
        <v>1980001</v>
      </c>
      <c r="AM69" s="492">
        <f>J69+U69</f>
        <v>1468844</v>
      </c>
      <c r="AN69" s="492">
        <f>Y69</f>
        <v>0</v>
      </c>
      <c r="AO69" s="492">
        <f>K69+AA69</f>
        <v>496469</v>
      </c>
      <c r="AP69" s="492">
        <f>L69+AB69</f>
        <v>14688</v>
      </c>
      <c r="AQ69" s="578">
        <f t="shared" si="7"/>
        <v>0</v>
      </c>
      <c r="AR69" s="626">
        <f>N69+AK69</f>
        <v>2.371</v>
      </c>
    </row>
    <row r="70" spans="1:44" s="67" customFormat="1" ht="14.1" customHeight="1" x14ac:dyDescent="0.2">
      <c r="A70" s="88">
        <v>12</v>
      </c>
      <c r="B70" s="56">
        <v>2408</v>
      </c>
      <c r="C70" s="64">
        <v>600079058</v>
      </c>
      <c r="D70" s="56">
        <v>72741511</v>
      </c>
      <c r="E70" s="56" t="s">
        <v>705</v>
      </c>
      <c r="F70" s="65">
        <v>3111</v>
      </c>
      <c r="G70" s="56" t="s">
        <v>278</v>
      </c>
      <c r="H70" s="66" t="s">
        <v>263</v>
      </c>
      <c r="I70" s="586">
        <f t="shared" si="0"/>
        <v>0</v>
      </c>
      <c r="J70" s="423">
        <v>0</v>
      </c>
      <c r="K70" s="14">
        <v>0</v>
      </c>
      <c r="L70" s="14">
        <v>0</v>
      </c>
      <c r="M70" s="14">
        <v>0</v>
      </c>
      <c r="N70" s="725">
        <v>0</v>
      </c>
      <c r="O70" s="440">
        <f t="shared" si="85"/>
        <v>0</v>
      </c>
      <c r="P70" s="423">
        <v>297636</v>
      </c>
      <c r="Q70" s="325">
        <v>0</v>
      </c>
      <c r="R70" s="325">
        <v>0</v>
      </c>
      <c r="S70" s="325">
        <v>0</v>
      </c>
      <c r="T70" s="325">
        <v>0</v>
      </c>
      <c r="U70" s="492">
        <f>O70+P70+Q70+R70+S70+T70</f>
        <v>297636</v>
      </c>
      <c r="V70" s="325">
        <v>0</v>
      </c>
      <c r="W70" s="325">
        <v>0</v>
      </c>
      <c r="X70" s="325">
        <v>0</v>
      </c>
      <c r="Y70" s="492">
        <f t="shared" si="99"/>
        <v>0</v>
      </c>
      <c r="Z70" s="492">
        <f t="shared" si="100"/>
        <v>297636</v>
      </c>
      <c r="AA70" s="494">
        <f t="shared" si="101"/>
        <v>100601</v>
      </c>
      <c r="AB70" s="55">
        <f>ROUND(U70*1%,0)</f>
        <v>2976</v>
      </c>
      <c r="AC70" s="14">
        <v>0</v>
      </c>
      <c r="AD70" s="622">
        <f t="shared" si="5"/>
        <v>401213</v>
      </c>
      <c r="AE70" s="715">
        <v>0</v>
      </c>
      <c r="AF70" s="729">
        <v>0.75</v>
      </c>
      <c r="AG70" s="326">
        <v>0</v>
      </c>
      <c r="AH70" s="326">
        <v>0</v>
      </c>
      <c r="AI70" s="326">
        <v>0</v>
      </c>
      <c r="AJ70" s="326">
        <v>0</v>
      </c>
      <c r="AK70" s="626">
        <f>SUM(AE70:AJ70)</f>
        <v>0.75</v>
      </c>
      <c r="AL70" s="696">
        <f>I70+AD70</f>
        <v>401213</v>
      </c>
      <c r="AM70" s="492">
        <f>J70+U70</f>
        <v>297636</v>
      </c>
      <c r="AN70" s="492">
        <f>Y70</f>
        <v>0</v>
      </c>
      <c r="AO70" s="492">
        <f>K70+AA70</f>
        <v>100601</v>
      </c>
      <c r="AP70" s="492">
        <f>L70+AB70</f>
        <v>2976</v>
      </c>
      <c r="AQ70" s="578">
        <f t="shared" si="7"/>
        <v>0</v>
      </c>
      <c r="AR70" s="626">
        <f>N70+AK70</f>
        <v>0.75</v>
      </c>
    </row>
    <row r="71" spans="1:44" s="67" customFormat="1" ht="14.1" customHeight="1" x14ac:dyDescent="0.2">
      <c r="A71" s="89">
        <v>12</v>
      </c>
      <c r="B71" s="68">
        <v>2408</v>
      </c>
      <c r="C71" s="69">
        <v>600079058</v>
      </c>
      <c r="D71" s="68">
        <v>72741511</v>
      </c>
      <c r="E71" s="68" t="s">
        <v>706</v>
      </c>
      <c r="F71" s="70"/>
      <c r="G71" s="71"/>
      <c r="H71" s="72"/>
      <c r="I71" s="587">
        <f t="shared" ref="I71:N71" si="102">SUM(I69:I70)</f>
        <v>1980001</v>
      </c>
      <c r="J71" s="334">
        <f t="shared" si="102"/>
        <v>1468844</v>
      </c>
      <c r="K71" s="334">
        <f t="shared" si="102"/>
        <v>496469</v>
      </c>
      <c r="L71" s="334">
        <f t="shared" si="102"/>
        <v>14688</v>
      </c>
      <c r="M71" s="334">
        <f t="shared" si="102"/>
        <v>0</v>
      </c>
      <c r="N71" s="74">
        <f t="shared" si="102"/>
        <v>2.371</v>
      </c>
      <c r="O71" s="719">
        <f t="shared" ref="O71:Y71" si="103">SUM(O69:O70)</f>
        <v>0</v>
      </c>
      <c r="P71" s="334">
        <f t="shared" si="103"/>
        <v>297636</v>
      </c>
      <c r="Q71" s="334">
        <f t="shared" si="103"/>
        <v>0</v>
      </c>
      <c r="R71" s="334">
        <f t="shared" si="103"/>
        <v>0</v>
      </c>
      <c r="S71" s="334">
        <f t="shared" si="103"/>
        <v>0</v>
      </c>
      <c r="T71" s="334">
        <f t="shared" si="103"/>
        <v>0</v>
      </c>
      <c r="U71" s="334">
        <f t="shared" si="103"/>
        <v>297636</v>
      </c>
      <c r="V71" s="334">
        <f t="shared" si="103"/>
        <v>0</v>
      </c>
      <c r="W71" s="334">
        <f t="shared" si="103"/>
        <v>0</v>
      </c>
      <c r="X71" s="334">
        <f t="shared" si="103"/>
        <v>0</v>
      </c>
      <c r="Y71" s="334">
        <f t="shared" si="103"/>
        <v>0</v>
      </c>
      <c r="Z71" s="334">
        <f t="shared" ref="Z71:AR71" si="104">SUM(Z69:Z70)</f>
        <v>297636</v>
      </c>
      <c r="AA71" s="334">
        <f t="shared" si="104"/>
        <v>100601</v>
      </c>
      <c r="AB71" s="334">
        <f t="shared" si="104"/>
        <v>2976</v>
      </c>
      <c r="AC71" s="334">
        <f t="shared" si="104"/>
        <v>0</v>
      </c>
      <c r="AD71" s="712">
        <f t="shared" si="104"/>
        <v>401213</v>
      </c>
      <c r="AE71" s="716">
        <f t="shared" si="104"/>
        <v>0</v>
      </c>
      <c r="AF71" s="335">
        <f t="shared" si="104"/>
        <v>0.75</v>
      </c>
      <c r="AG71" s="335">
        <f t="shared" si="104"/>
        <v>0</v>
      </c>
      <c r="AH71" s="335">
        <f t="shared" si="104"/>
        <v>0</v>
      </c>
      <c r="AI71" s="335">
        <f t="shared" si="104"/>
        <v>0</v>
      </c>
      <c r="AJ71" s="335">
        <f t="shared" si="104"/>
        <v>0</v>
      </c>
      <c r="AK71" s="74">
        <f t="shared" si="104"/>
        <v>0.75</v>
      </c>
      <c r="AL71" s="589">
        <f t="shared" si="104"/>
        <v>2381214</v>
      </c>
      <c r="AM71" s="557">
        <f t="shared" si="104"/>
        <v>1766480</v>
      </c>
      <c r="AN71" s="557">
        <f t="shared" si="104"/>
        <v>0</v>
      </c>
      <c r="AO71" s="557">
        <f t="shared" si="104"/>
        <v>597070</v>
      </c>
      <c r="AP71" s="557">
        <f t="shared" si="104"/>
        <v>17664</v>
      </c>
      <c r="AQ71" s="557">
        <f t="shared" si="104"/>
        <v>0</v>
      </c>
      <c r="AR71" s="590">
        <f t="shared" si="104"/>
        <v>3.121</v>
      </c>
    </row>
    <row r="72" spans="1:44" s="67" customFormat="1" ht="14.1" customHeight="1" x14ac:dyDescent="0.2">
      <c r="A72" s="88">
        <v>13</v>
      </c>
      <c r="B72" s="56">
        <v>2304</v>
      </c>
      <c r="C72" s="64">
        <v>600080382</v>
      </c>
      <c r="D72" s="56">
        <v>72743417</v>
      </c>
      <c r="E72" s="56" t="s">
        <v>707</v>
      </c>
      <c r="F72" s="65">
        <v>3113</v>
      </c>
      <c r="G72" s="56" t="s">
        <v>280</v>
      </c>
      <c r="H72" s="66" t="s">
        <v>262</v>
      </c>
      <c r="I72" s="586">
        <f t="shared" si="0"/>
        <v>4279507</v>
      </c>
      <c r="J72" s="14">
        <v>3174708</v>
      </c>
      <c r="K72" s="14">
        <v>1073052</v>
      </c>
      <c r="L72" s="14">
        <v>31747</v>
      </c>
      <c r="M72" s="14">
        <v>0</v>
      </c>
      <c r="N72" s="651">
        <v>4.9089999999999998</v>
      </c>
      <c r="O72" s="440">
        <f t="shared" si="85"/>
        <v>0</v>
      </c>
      <c r="P72" s="325">
        <v>0</v>
      </c>
      <c r="Q72" s="325">
        <v>0</v>
      </c>
      <c r="R72" s="325">
        <v>0</v>
      </c>
      <c r="S72" s="325">
        <v>0</v>
      </c>
      <c r="T72" s="325">
        <v>0</v>
      </c>
      <c r="U72" s="492">
        <f>O72+P72+Q72+R72+S72+T72</f>
        <v>0</v>
      </c>
      <c r="V72" s="325">
        <v>0</v>
      </c>
      <c r="W72" s="325">
        <v>0</v>
      </c>
      <c r="X72" s="325">
        <v>0</v>
      </c>
      <c r="Y72" s="492">
        <f t="shared" ref="Y72:Y75" si="105">V72+W72+X72</f>
        <v>0</v>
      </c>
      <c r="Z72" s="492">
        <f t="shared" ref="Z72:Z75" si="106">U72+Y72</f>
        <v>0</v>
      </c>
      <c r="AA72" s="494">
        <f t="shared" ref="AA72:AA75" si="107">ROUND((U72+Y72)*33.8%,0)</f>
        <v>0</v>
      </c>
      <c r="AB72" s="55">
        <f>ROUND(U72*1%,0)</f>
        <v>0</v>
      </c>
      <c r="AC72" s="14">
        <v>0</v>
      </c>
      <c r="AD72" s="622">
        <f t="shared" si="5"/>
        <v>0</v>
      </c>
      <c r="AE72" s="715">
        <v>0</v>
      </c>
      <c r="AF72" s="326">
        <v>0</v>
      </c>
      <c r="AG72" s="326">
        <v>0</v>
      </c>
      <c r="AH72" s="326">
        <v>0</v>
      </c>
      <c r="AI72" s="326">
        <v>0</v>
      </c>
      <c r="AJ72" s="326">
        <v>0</v>
      </c>
      <c r="AK72" s="626">
        <f>SUM(AE72:AJ72)</f>
        <v>0</v>
      </c>
      <c r="AL72" s="696">
        <f>I72+AD72</f>
        <v>4279507</v>
      </c>
      <c r="AM72" s="492">
        <f>J72+U72</f>
        <v>3174708</v>
      </c>
      <c r="AN72" s="492">
        <f>Y72</f>
        <v>0</v>
      </c>
      <c r="AO72" s="492">
        <f t="shared" ref="AO72:AP75" si="108">K72+AA72</f>
        <v>1073052</v>
      </c>
      <c r="AP72" s="492">
        <f t="shared" si="108"/>
        <v>31747</v>
      </c>
      <c r="AQ72" s="578">
        <f t="shared" si="7"/>
        <v>0</v>
      </c>
      <c r="AR72" s="626">
        <f>N72+AK72</f>
        <v>4.9089999999999998</v>
      </c>
    </row>
    <row r="73" spans="1:44" s="67" customFormat="1" ht="14.1" customHeight="1" x14ac:dyDescent="0.2">
      <c r="A73" s="88">
        <v>13</v>
      </c>
      <c r="B73" s="56">
        <v>2304</v>
      </c>
      <c r="C73" s="64">
        <v>600080382</v>
      </c>
      <c r="D73" s="56">
        <v>72743417</v>
      </c>
      <c r="E73" s="56" t="s">
        <v>707</v>
      </c>
      <c r="F73" s="65">
        <v>3113</v>
      </c>
      <c r="G73" s="39" t="s">
        <v>279</v>
      </c>
      <c r="H73" s="66" t="s">
        <v>262</v>
      </c>
      <c r="I73" s="586">
        <f t="shared" si="0"/>
        <v>984169</v>
      </c>
      <c r="J73" s="14">
        <v>730096</v>
      </c>
      <c r="K73" s="14">
        <v>246772</v>
      </c>
      <c r="L73" s="14">
        <v>7301</v>
      </c>
      <c r="M73" s="14">
        <v>0</v>
      </c>
      <c r="N73" s="651">
        <v>1.7222</v>
      </c>
      <c r="O73" s="440">
        <f t="shared" si="85"/>
        <v>0</v>
      </c>
      <c r="P73" s="325">
        <v>0</v>
      </c>
      <c r="Q73" s="325">
        <v>0</v>
      </c>
      <c r="R73" s="325">
        <v>0</v>
      </c>
      <c r="S73" s="325">
        <v>0</v>
      </c>
      <c r="T73" s="325">
        <v>0</v>
      </c>
      <c r="U73" s="492">
        <f>O73+P73+Q73+R73+S73+T73</f>
        <v>0</v>
      </c>
      <c r="V73" s="325">
        <v>0</v>
      </c>
      <c r="W73" s="325">
        <v>0</v>
      </c>
      <c r="X73" s="325">
        <v>0</v>
      </c>
      <c r="Y73" s="492">
        <f t="shared" si="105"/>
        <v>0</v>
      </c>
      <c r="Z73" s="492">
        <f t="shared" si="106"/>
        <v>0</v>
      </c>
      <c r="AA73" s="494">
        <f t="shared" si="107"/>
        <v>0</v>
      </c>
      <c r="AB73" s="55">
        <f>ROUND(U73*1%,0)</f>
        <v>0</v>
      </c>
      <c r="AC73" s="14">
        <v>0</v>
      </c>
      <c r="AD73" s="622">
        <f t="shared" si="5"/>
        <v>0</v>
      </c>
      <c r="AE73" s="715">
        <v>0</v>
      </c>
      <c r="AF73" s="326">
        <v>0</v>
      </c>
      <c r="AG73" s="326">
        <v>0</v>
      </c>
      <c r="AH73" s="326">
        <v>0</v>
      </c>
      <c r="AI73" s="326">
        <v>0</v>
      </c>
      <c r="AJ73" s="326">
        <v>0</v>
      </c>
      <c r="AK73" s="626">
        <f>SUM(AE73:AJ73)</f>
        <v>0</v>
      </c>
      <c r="AL73" s="696">
        <f>I73+AD73</f>
        <v>984169</v>
      </c>
      <c r="AM73" s="492">
        <f>J73+U73</f>
        <v>730096</v>
      </c>
      <c r="AN73" s="492">
        <f>Y73</f>
        <v>0</v>
      </c>
      <c r="AO73" s="492">
        <f t="shared" si="108"/>
        <v>246772</v>
      </c>
      <c r="AP73" s="492">
        <f t="shared" si="108"/>
        <v>7301</v>
      </c>
      <c r="AQ73" s="578">
        <f t="shared" si="7"/>
        <v>0</v>
      </c>
      <c r="AR73" s="626">
        <f>N73+AK73</f>
        <v>1.7222</v>
      </c>
    </row>
    <row r="74" spans="1:44" s="67" customFormat="1" ht="14.1" customHeight="1" x14ac:dyDescent="0.2">
      <c r="A74" s="88">
        <v>13</v>
      </c>
      <c r="B74" s="56">
        <v>2304</v>
      </c>
      <c r="C74" s="64">
        <v>600080382</v>
      </c>
      <c r="D74" s="56">
        <v>72743417</v>
      </c>
      <c r="E74" s="56" t="s">
        <v>707</v>
      </c>
      <c r="F74" s="65">
        <v>3113</v>
      </c>
      <c r="G74" s="56" t="s">
        <v>278</v>
      </c>
      <c r="H74" s="66" t="s">
        <v>263</v>
      </c>
      <c r="I74" s="586">
        <f t="shared" si="0"/>
        <v>0</v>
      </c>
      <c r="J74" s="423">
        <v>0</v>
      </c>
      <c r="K74" s="14">
        <v>0</v>
      </c>
      <c r="L74" s="14">
        <v>0</v>
      </c>
      <c r="M74" s="14">
        <v>0</v>
      </c>
      <c r="N74" s="725">
        <v>0</v>
      </c>
      <c r="O74" s="440">
        <f t="shared" si="85"/>
        <v>0</v>
      </c>
      <c r="P74" s="423">
        <v>595272</v>
      </c>
      <c r="Q74" s="325">
        <v>0</v>
      </c>
      <c r="R74" s="325">
        <v>0</v>
      </c>
      <c r="S74" s="325">
        <v>0</v>
      </c>
      <c r="T74" s="325">
        <v>0</v>
      </c>
      <c r="U74" s="492">
        <f>O74+P74+Q74+R74+S74+T74</f>
        <v>595272</v>
      </c>
      <c r="V74" s="325">
        <v>0</v>
      </c>
      <c r="W74" s="325">
        <v>0</v>
      </c>
      <c r="X74" s="325">
        <v>0</v>
      </c>
      <c r="Y74" s="492">
        <f t="shared" si="105"/>
        <v>0</v>
      </c>
      <c r="Z74" s="492">
        <f t="shared" si="106"/>
        <v>595272</v>
      </c>
      <c r="AA74" s="494">
        <f t="shared" si="107"/>
        <v>201202</v>
      </c>
      <c r="AB74" s="55">
        <f>ROUND(U74*1%,0)</f>
        <v>5953</v>
      </c>
      <c r="AC74" s="14">
        <v>0</v>
      </c>
      <c r="AD74" s="622">
        <f t="shared" si="5"/>
        <v>802427</v>
      </c>
      <c r="AE74" s="715">
        <v>0</v>
      </c>
      <c r="AF74" s="729">
        <v>1.5</v>
      </c>
      <c r="AG74" s="326">
        <v>0</v>
      </c>
      <c r="AH74" s="326">
        <v>0</v>
      </c>
      <c r="AI74" s="326">
        <v>0</v>
      </c>
      <c r="AJ74" s="326">
        <v>0</v>
      </c>
      <c r="AK74" s="626">
        <f>SUM(AE74:AJ74)</f>
        <v>1.5</v>
      </c>
      <c r="AL74" s="696">
        <f>I74+AD74</f>
        <v>802427</v>
      </c>
      <c r="AM74" s="492">
        <f>J74+U74</f>
        <v>595272</v>
      </c>
      <c r="AN74" s="492">
        <f>Y74</f>
        <v>0</v>
      </c>
      <c r="AO74" s="492">
        <f t="shared" si="108"/>
        <v>201202</v>
      </c>
      <c r="AP74" s="492">
        <f t="shared" si="108"/>
        <v>5953</v>
      </c>
      <c r="AQ74" s="578">
        <f t="shared" si="7"/>
        <v>0</v>
      </c>
      <c r="AR74" s="626">
        <f>N74+AK74</f>
        <v>1.5</v>
      </c>
    </row>
    <row r="75" spans="1:44" s="67" customFormat="1" ht="14.1" customHeight="1" x14ac:dyDescent="0.2">
      <c r="A75" s="88">
        <v>13</v>
      </c>
      <c r="B75" s="56">
        <v>2304</v>
      </c>
      <c r="C75" s="64">
        <v>600080382</v>
      </c>
      <c r="D75" s="56">
        <v>72743417</v>
      </c>
      <c r="E75" s="56" t="s">
        <v>707</v>
      </c>
      <c r="F75" s="65">
        <v>3143</v>
      </c>
      <c r="G75" s="56" t="s">
        <v>794</v>
      </c>
      <c r="H75" s="66" t="s">
        <v>262</v>
      </c>
      <c r="I75" s="586">
        <f t="shared" si="0"/>
        <v>309992</v>
      </c>
      <c r="J75" s="14">
        <v>229964</v>
      </c>
      <c r="K75" s="14">
        <v>77728</v>
      </c>
      <c r="L75" s="14">
        <v>2300</v>
      </c>
      <c r="M75" s="14">
        <v>0</v>
      </c>
      <c r="N75" s="651">
        <v>0.5</v>
      </c>
      <c r="O75" s="440">
        <f t="shared" si="85"/>
        <v>0</v>
      </c>
      <c r="P75" s="325">
        <v>0</v>
      </c>
      <c r="Q75" s="325">
        <v>0</v>
      </c>
      <c r="R75" s="325">
        <v>0</v>
      </c>
      <c r="S75" s="325">
        <v>0</v>
      </c>
      <c r="T75" s="325">
        <v>0</v>
      </c>
      <c r="U75" s="492">
        <f>O75+P75+Q75+R75+S75+T75</f>
        <v>0</v>
      </c>
      <c r="V75" s="325">
        <v>0</v>
      </c>
      <c r="W75" s="325">
        <v>0</v>
      </c>
      <c r="X75" s="325">
        <v>0</v>
      </c>
      <c r="Y75" s="492">
        <f t="shared" si="105"/>
        <v>0</v>
      </c>
      <c r="Z75" s="492">
        <f t="shared" si="106"/>
        <v>0</v>
      </c>
      <c r="AA75" s="494">
        <f t="shared" si="107"/>
        <v>0</v>
      </c>
      <c r="AB75" s="55">
        <f>ROUND(U75*1%,0)</f>
        <v>0</v>
      </c>
      <c r="AC75" s="14">
        <v>0</v>
      </c>
      <c r="AD75" s="622">
        <f t="shared" si="5"/>
        <v>0</v>
      </c>
      <c r="AE75" s="715">
        <v>0</v>
      </c>
      <c r="AF75" s="326">
        <v>0</v>
      </c>
      <c r="AG75" s="326">
        <v>0</v>
      </c>
      <c r="AH75" s="326">
        <v>0</v>
      </c>
      <c r="AI75" s="326">
        <v>0</v>
      </c>
      <c r="AJ75" s="326">
        <v>0</v>
      </c>
      <c r="AK75" s="626">
        <f>SUM(AE75:AJ75)</f>
        <v>0</v>
      </c>
      <c r="AL75" s="696">
        <f>I75+AD75</f>
        <v>309992</v>
      </c>
      <c r="AM75" s="492">
        <f>J75+U75</f>
        <v>229964</v>
      </c>
      <c r="AN75" s="492">
        <f>Y75</f>
        <v>0</v>
      </c>
      <c r="AO75" s="492">
        <f t="shared" si="108"/>
        <v>77728</v>
      </c>
      <c r="AP75" s="492">
        <f t="shared" si="108"/>
        <v>2300</v>
      </c>
      <c r="AQ75" s="578">
        <f t="shared" si="7"/>
        <v>0</v>
      </c>
      <c r="AR75" s="626">
        <f>N75+AK75</f>
        <v>0.5</v>
      </c>
    </row>
    <row r="76" spans="1:44" s="67" customFormat="1" ht="14.1" customHeight="1" x14ac:dyDescent="0.2">
      <c r="A76" s="89">
        <v>13</v>
      </c>
      <c r="B76" s="68">
        <v>2304</v>
      </c>
      <c r="C76" s="69">
        <v>600080382</v>
      </c>
      <c r="D76" s="68">
        <v>72743417</v>
      </c>
      <c r="E76" s="68" t="s">
        <v>708</v>
      </c>
      <c r="F76" s="70"/>
      <c r="G76" s="71"/>
      <c r="H76" s="72"/>
      <c r="I76" s="587">
        <f t="shared" ref="I76:N76" si="109">SUM(I72:I75)</f>
        <v>5573668</v>
      </c>
      <c r="J76" s="334">
        <f t="shared" si="109"/>
        <v>4134768</v>
      </c>
      <c r="K76" s="334">
        <f t="shared" si="109"/>
        <v>1397552</v>
      </c>
      <c r="L76" s="334">
        <f t="shared" si="109"/>
        <v>41348</v>
      </c>
      <c r="M76" s="334">
        <f t="shared" si="109"/>
        <v>0</v>
      </c>
      <c r="N76" s="74">
        <f t="shared" si="109"/>
        <v>7.1311999999999998</v>
      </c>
      <c r="O76" s="719">
        <f t="shared" ref="O76:Y76" si="110">SUM(O72:O75)</f>
        <v>0</v>
      </c>
      <c r="P76" s="334">
        <f t="shared" si="110"/>
        <v>595272</v>
      </c>
      <c r="Q76" s="334">
        <f t="shared" si="110"/>
        <v>0</v>
      </c>
      <c r="R76" s="334">
        <f t="shared" si="110"/>
        <v>0</v>
      </c>
      <c r="S76" s="334">
        <f t="shared" si="110"/>
        <v>0</v>
      </c>
      <c r="T76" s="334">
        <f t="shared" si="110"/>
        <v>0</v>
      </c>
      <c r="U76" s="334">
        <f t="shared" si="110"/>
        <v>595272</v>
      </c>
      <c r="V76" s="334">
        <f t="shared" si="110"/>
        <v>0</v>
      </c>
      <c r="W76" s="334">
        <f t="shared" si="110"/>
        <v>0</v>
      </c>
      <c r="X76" s="334">
        <f t="shared" si="110"/>
        <v>0</v>
      </c>
      <c r="Y76" s="334">
        <f t="shared" si="110"/>
        <v>0</v>
      </c>
      <c r="Z76" s="334">
        <f t="shared" ref="Z76:AR76" si="111">SUM(Z72:Z75)</f>
        <v>595272</v>
      </c>
      <c r="AA76" s="334">
        <f t="shared" si="111"/>
        <v>201202</v>
      </c>
      <c r="AB76" s="334">
        <f t="shared" si="111"/>
        <v>5953</v>
      </c>
      <c r="AC76" s="334">
        <f t="shared" si="111"/>
        <v>0</v>
      </c>
      <c r="AD76" s="712">
        <f t="shared" si="111"/>
        <v>802427</v>
      </c>
      <c r="AE76" s="716">
        <f t="shared" si="111"/>
        <v>0</v>
      </c>
      <c r="AF76" s="335">
        <f t="shared" si="111"/>
        <v>1.5</v>
      </c>
      <c r="AG76" s="335">
        <f t="shared" si="111"/>
        <v>0</v>
      </c>
      <c r="AH76" s="335">
        <f t="shared" si="111"/>
        <v>0</v>
      </c>
      <c r="AI76" s="335">
        <f t="shared" si="111"/>
        <v>0</v>
      </c>
      <c r="AJ76" s="335">
        <f t="shared" si="111"/>
        <v>0</v>
      </c>
      <c r="AK76" s="74">
        <f t="shared" si="111"/>
        <v>1.5</v>
      </c>
      <c r="AL76" s="589">
        <f t="shared" si="111"/>
        <v>6376095</v>
      </c>
      <c r="AM76" s="557">
        <f t="shared" si="111"/>
        <v>4730040</v>
      </c>
      <c r="AN76" s="557">
        <f t="shared" si="111"/>
        <v>0</v>
      </c>
      <c r="AO76" s="557">
        <f t="shared" si="111"/>
        <v>1598754</v>
      </c>
      <c r="AP76" s="557">
        <f t="shared" si="111"/>
        <v>47301</v>
      </c>
      <c r="AQ76" s="557">
        <f t="shared" si="111"/>
        <v>0</v>
      </c>
      <c r="AR76" s="590">
        <f t="shared" si="111"/>
        <v>8.6311999999999998</v>
      </c>
    </row>
    <row r="77" spans="1:44" s="67" customFormat="1" ht="14.1" customHeight="1" x14ac:dyDescent="0.2">
      <c r="A77" s="88">
        <v>14</v>
      </c>
      <c r="B77" s="73">
        <v>2438</v>
      </c>
      <c r="C77" s="64">
        <v>600079384</v>
      </c>
      <c r="D77" s="56">
        <v>72741911</v>
      </c>
      <c r="E77" s="56" t="s">
        <v>709</v>
      </c>
      <c r="F77" s="65">
        <v>3111</v>
      </c>
      <c r="G77" s="56" t="s">
        <v>277</v>
      </c>
      <c r="H77" s="66" t="s">
        <v>262</v>
      </c>
      <c r="I77" s="586">
        <f t="shared" ref="I77:I101" si="112">SUM(J77:M77)</f>
        <v>8621049</v>
      </c>
      <c r="J77" s="14">
        <v>6395437</v>
      </c>
      <c r="K77" s="14">
        <v>2161658</v>
      </c>
      <c r="L77" s="14">
        <v>63954</v>
      </c>
      <c r="M77" s="14">
        <v>0</v>
      </c>
      <c r="N77" s="651">
        <v>10.387</v>
      </c>
      <c r="O77" s="440">
        <f t="shared" si="85"/>
        <v>0</v>
      </c>
      <c r="P77" s="325">
        <v>0</v>
      </c>
      <c r="Q77" s="325">
        <v>0</v>
      </c>
      <c r="R77" s="325">
        <v>0</v>
      </c>
      <c r="S77" s="325">
        <v>0</v>
      </c>
      <c r="T77" s="325">
        <v>0</v>
      </c>
      <c r="U77" s="492">
        <f>O77+P77+Q77+R77+S77+T77</f>
        <v>0</v>
      </c>
      <c r="V77" s="325">
        <v>0</v>
      </c>
      <c r="W77" s="325">
        <v>0</v>
      </c>
      <c r="X77" s="325">
        <v>0</v>
      </c>
      <c r="Y77" s="492">
        <f t="shared" ref="Y77:Y78" si="113">V77+W77+X77</f>
        <v>0</v>
      </c>
      <c r="Z77" s="492">
        <f t="shared" ref="Z77:Z78" si="114">U77+Y77</f>
        <v>0</v>
      </c>
      <c r="AA77" s="494">
        <f t="shared" ref="AA77:AA78" si="115">ROUND((U77+Y77)*33.8%,0)</f>
        <v>0</v>
      </c>
      <c r="AB77" s="55">
        <f>ROUND(U77*1%,0)</f>
        <v>0</v>
      </c>
      <c r="AC77" s="14">
        <v>0</v>
      </c>
      <c r="AD77" s="622">
        <f t="shared" ref="AD77:AD101" si="116">Z77+AA77+AB77+AC77</f>
        <v>0</v>
      </c>
      <c r="AE77" s="715">
        <v>0</v>
      </c>
      <c r="AF77" s="326">
        <v>0</v>
      </c>
      <c r="AG77" s="326">
        <v>0</v>
      </c>
      <c r="AH77" s="326">
        <v>0</v>
      </c>
      <c r="AI77" s="326">
        <v>0</v>
      </c>
      <c r="AJ77" s="326">
        <v>0</v>
      </c>
      <c r="AK77" s="626">
        <f>SUM(AE77:AJ77)</f>
        <v>0</v>
      </c>
      <c r="AL77" s="696">
        <f>I77+AD77</f>
        <v>8621049</v>
      </c>
      <c r="AM77" s="492">
        <f>J77+U77</f>
        <v>6395437</v>
      </c>
      <c r="AN77" s="492">
        <f>Y77</f>
        <v>0</v>
      </c>
      <c r="AO77" s="492">
        <f>K77+AA77</f>
        <v>2161658</v>
      </c>
      <c r="AP77" s="492">
        <f>L77+AB77</f>
        <v>63954</v>
      </c>
      <c r="AQ77" s="578">
        <f t="shared" ref="AQ77:AQ101" si="117">M77+AC77</f>
        <v>0</v>
      </c>
      <c r="AR77" s="626">
        <f>N77+AK77</f>
        <v>10.387</v>
      </c>
    </row>
    <row r="78" spans="1:44" s="67" customFormat="1" ht="14.1" customHeight="1" x14ac:dyDescent="0.2">
      <c r="A78" s="88">
        <v>14</v>
      </c>
      <c r="B78" s="56">
        <v>2438</v>
      </c>
      <c r="C78" s="64">
        <v>600079384</v>
      </c>
      <c r="D78" s="56">
        <v>72741911</v>
      </c>
      <c r="E78" s="56" t="s">
        <v>709</v>
      </c>
      <c r="F78" s="65">
        <v>3111</v>
      </c>
      <c r="G78" s="56" t="s">
        <v>278</v>
      </c>
      <c r="H78" s="66" t="s">
        <v>263</v>
      </c>
      <c r="I78" s="586">
        <f t="shared" si="112"/>
        <v>0</v>
      </c>
      <c r="J78" s="423">
        <v>0</v>
      </c>
      <c r="K78" s="14">
        <v>0</v>
      </c>
      <c r="L78" s="14">
        <v>0</v>
      </c>
      <c r="M78" s="14">
        <v>0</v>
      </c>
      <c r="N78" s="725">
        <v>0</v>
      </c>
      <c r="O78" s="440">
        <f t="shared" si="85"/>
        <v>0</v>
      </c>
      <c r="P78" s="423">
        <v>1342734</v>
      </c>
      <c r="Q78" s="325">
        <v>0</v>
      </c>
      <c r="R78" s="325">
        <v>0</v>
      </c>
      <c r="S78" s="325">
        <v>0</v>
      </c>
      <c r="T78" s="325">
        <v>0</v>
      </c>
      <c r="U78" s="492">
        <f>O78+P78+Q78+R78+S78+T78</f>
        <v>1342734</v>
      </c>
      <c r="V78" s="325">
        <v>0</v>
      </c>
      <c r="W78" s="325">
        <v>0</v>
      </c>
      <c r="X78" s="325">
        <v>0</v>
      </c>
      <c r="Y78" s="492">
        <f t="shared" si="113"/>
        <v>0</v>
      </c>
      <c r="Z78" s="492">
        <f t="shared" si="114"/>
        <v>1342734</v>
      </c>
      <c r="AA78" s="494">
        <f t="shared" si="115"/>
        <v>453844</v>
      </c>
      <c r="AB78" s="55">
        <f>ROUND(U78*1%,0)</f>
        <v>13427</v>
      </c>
      <c r="AC78" s="14">
        <v>0</v>
      </c>
      <c r="AD78" s="622">
        <f t="shared" si="116"/>
        <v>1810005</v>
      </c>
      <c r="AE78" s="715">
        <v>0</v>
      </c>
      <c r="AF78" s="729">
        <v>3.35</v>
      </c>
      <c r="AG78" s="326">
        <v>0</v>
      </c>
      <c r="AH78" s="326">
        <v>0</v>
      </c>
      <c r="AI78" s="326">
        <v>0</v>
      </c>
      <c r="AJ78" s="326">
        <v>0</v>
      </c>
      <c r="AK78" s="626">
        <f>SUM(AE78:AJ78)</f>
        <v>3.35</v>
      </c>
      <c r="AL78" s="696">
        <f>I78+AD78</f>
        <v>1810005</v>
      </c>
      <c r="AM78" s="492">
        <f>J78+U78</f>
        <v>1342734</v>
      </c>
      <c r="AN78" s="492">
        <f>Y78</f>
        <v>0</v>
      </c>
      <c r="AO78" s="492">
        <f>K78+AA78</f>
        <v>453844</v>
      </c>
      <c r="AP78" s="492">
        <f>L78+AB78</f>
        <v>13427</v>
      </c>
      <c r="AQ78" s="578">
        <f t="shared" si="117"/>
        <v>0</v>
      </c>
      <c r="AR78" s="626">
        <f>N78+AK78</f>
        <v>3.35</v>
      </c>
    </row>
    <row r="79" spans="1:44" s="67" customFormat="1" ht="14.1" customHeight="1" x14ac:dyDescent="0.2">
      <c r="A79" s="89">
        <v>14</v>
      </c>
      <c r="B79" s="68">
        <v>2438</v>
      </c>
      <c r="C79" s="69">
        <v>600079384</v>
      </c>
      <c r="D79" s="68">
        <v>72741911</v>
      </c>
      <c r="E79" s="68" t="s">
        <v>710</v>
      </c>
      <c r="F79" s="70"/>
      <c r="G79" s="71"/>
      <c r="H79" s="72"/>
      <c r="I79" s="587">
        <f t="shared" ref="I79:N79" si="118">SUM(I77:I78)</f>
        <v>8621049</v>
      </c>
      <c r="J79" s="334">
        <f t="shared" si="118"/>
        <v>6395437</v>
      </c>
      <c r="K79" s="334">
        <f t="shared" si="118"/>
        <v>2161658</v>
      </c>
      <c r="L79" s="334">
        <f t="shared" si="118"/>
        <v>63954</v>
      </c>
      <c r="M79" s="334">
        <f t="shared" si="118"/>
        <v>0</v>
      </c>
      <c r="N79" s="74">
        <f t="shared" si="118"/>
        <v>10.387</v>
      </c>
      <c r="O79" s="719">
        <f t="shared" ref="O79:Y79" si="119">SUM(O77:O78)</f>
        <v>0</v>
      </c>
      <c r="P79" s="334">
        <f t="shared" si="119"/>
        <v>1342734</v>
      </c>
      <c r="Q79" s="334">
        <f t="shared" si="119"/>
        <v>0</v>
      </c>
      <c r="R79" s="334">
        <f t="shared" si="119"/>
        <v>0</v>
      </c>
      <c r="S79" s="334">
        <f t="shared" si="119"/>
        <v>0</v>
      </c>
      <c r="T79" s="334">
        <f t="shared" si="119"/>
        <v>0</v>
      </c>
      <c r="U79" s="334">
        <f t="shared" si="119"/>
        <v>1342734</v>
      </c>
      <c r="V79" s="334">
        <f t="shared" si="119"/>
        <v>0</v>
      </c>
      <c r="W79" s="334">
        <f t="shared" si="119"/>
        <v>0</v>
      </c>
      <c r="X79" s="334">
        <f t="shared" si="119"/>
        <v>0</v>
      </c>
      <c r="Y79" s="334">
        <f t="shared" si="119"/>
        <v>0</v>
      </c>
      <c r="Z79" s="334">
        <f t="shared" ref="Z79:AR79" si="120">SUM(Z77:Z78)</f>
        <v>1342734</v>
      </c>
      <c r="AA79" s="334">
        <f t="shared" si="120"/>
        <v>453844</v>
      </c>
      <c r="AB79" s="334">
        <f t="shared" si="120"/>
        <v>13427</v>
      </c>
      <c r="AC79" s="334">
        <f t="shared" si="120"/>
        <v>0</v>
      </c>
      <c r="AD79" s="712">
        <f t="shared" si="120"/>
        <v>1810005</v>
      </c>
      <c r="AE79" s="716">
        <f t="shared" si="120"/>
        <v>0</v>
      </c>
      <c r="AF79" s="335">
        <f t="shared" si="120"/>
        <v>3.35</v>
      </c>
      <c r="AG79" s="335">
        <f t="shared" si="120"/>
        <v>0</v>
      </c>
      <c r="AH79" s="335">
        <f t="shared" si="120"/>
        <v>0</v>
      </c>
      <c r="AI79" s="335">
        <f t="shared" si="120"/>
        <v>0</v>
      </c>
      <c r="AJ79" s="335">
        <f t="shared" si="120"/>
        <v>0</v>
      </c>
      <c r="AK79" s="74">
        <f t="shared" si="120"/>
        <v>3.35</v>
      </c>
      <c r="AL79" s="589">
        <f t="shared" si="120"/>
        <v>10431054</v>
      </c>
      <c r="AM79" s="557">
        <f t="shared" si="120"/>
        <v>7738171</v>
      </c>
      <c r="AN79" s="557">
        <f t="shared" si="120"/>
        <v>0</v>
      </c>
      <c r="AO79" s="557">
        <f t="shared" si="120"/>
        <v>2615502</v>
      </c>
      <c r="AP79" s="557">
        <f t="shared" si="120"/>
        <v>77381</v>
      </c>
      <c r="AQ79" s="557">
        <f t="shared" si="120"/>
        <v>0</v>
      </c>
      <c r="AR79" s="590">
        <f t="shared" si="120"/>
        <v>13.737</v>
      </c>
    </row>
    <row r="80" spans="1:44" s="67" customFormat="1" ht="14.1" customHeight="1" x14ac:dyDescent="0.2">
      <c r="A80" s="88">
        <v>15</v>
      </c>
      <c r="B80" s="56">
        <v>2315</v>
      </c>
      <c r="C80" s="64">
        <v>600080447</v>
      </c>
      <c r="D80" s="56">
        <v>46744819</v>
      </c>
      <c r="E80" s="56" t="s">
        <v>711</v>
      </c>
      <c r="F80" s="65">
        <v>3233</v>
      </c>
      <c r="G80" s="56" t="s">
        <v>283</v>
      </c>
      <c r="H80" s="66" t="s">
        <v>263</v>
      </c>
      <c r="I80" s="586">
        <f t="shared" si="112"/>
        <v>1369935</v>
      </c>
      <c r="J80" s="423">
        <v>1016272</v>
      </c>
      <c r="K80" s="14">
        <f>ROUND(J80*33.8%,0)</f>
        <v>343500</v>
      </c>
      <c r="L80" s="14">
        <f>ROUND(J80*1%,0)</f>
        <v>10163</v>
      </c>
      <c r="M80" s="14">
        <v>0</v>
      </c>
      <c r="N80" s="725">
        <v>1.72</v>
      </c>
      <c r="O80" s="440">
        <f t="shared" si="85"/>
        <v>0</v>
      </c>
      <c r="P80" s="325">
        <v>0</v>
      </c>
      <c r="Q80" s="325">
        <v>0</v>
      </c>
      <c r="R80" s="325">
        <v>0</v>
      </c>
      <c r="S80" s="325">
        <v>0</v>
      </c>
      <c r="T80" s="325">
        <v>0</v>
      </c>
      <c r="U80" s="492">
        <f>O80+P80+Q80+R80+S80+T80</f>
        <v>0</v>
      </c>
      <c r="V80" s="325">
        <v>0</v>
      </c>
      <c r="W80" s="325">
        <v>0</v>
      </c>
      <c r="X80" s="325">
        <v>0</v>
      </c>
      <c r="Y80" s="492">
        <f>V80+W80+X80</f>
        <v>0</v>
      </c>
      <c r="Z80" s="492">
        <f>U80+Y80</f>
        <v>0</v>
      </c>
      <c r="AA80" s="494">
        <f>ROUND((U80+Y80)*33.8%,0)</f>
        <v>0</v>
      </c>
      <c r="AB80" s="55">
        <f>ROUND(U80*1%,0)</f>
        <v>0</v>
      </c>
      <c r="AC80" s="14">
        <v>0</v>
      </c>
      <c r="AD80" s="622">
        <f t="shared" si="116"/>
        <v>0</v>
      </c>
      <c r="AE80" s="715">
        <v>0</v>
      </c>
      <c r="AF80" s="326">
        <v>0</v>
      </c>
      <c r="AG80" s="326">
        <v>0</v>
      </c>
      <c r="AH80" s="326">
        <v>0</v>
      </c>
      <c r="AI80" s="326">
        <v>0</v>
      </c>
      <c r="AJ80" s="326">
        <v>0</v>
      </c>
      <c r="AK80" s="626">
        <f>SUM(AE80:AJ80)</f>
        <v>0</v>
      </c>
      <c r="AL80" s="696">
        <f>I80+AD80</f>
        <v>1369935</v>
      </c>
      <c r="AM80" s="492">
        <f>J80+U80</f>
        <v>1016272</v>
      </c>
      <c r="AN80" s="492">
        <f>Y80</f>
        <v>0</v>
      </c>
      <c r="AO80" s="492">
        <f>K80+AA80</f>
        <v>343500</v>
      </c>
      <c r="AP80" s="492">
        <f>L80+AB80</f>
        <v>10163</v>
      </c>
      <c r="AQ80" s="578">
        <f t="shared" si="117"/>
        <v>0</v>
      </c>
      <c r="AR80" s="626">
        <f>N80+AK80</f>
        <v>1.72</v>
      </c>
    </row>
    <row r="81" spans="1:44" s="67" customFormat="1" ht="14.1" customHeight="1" x14ac:dyDescent="0.2">
      <c r="A81" s="89">
        <v>15</v>
      </c>
      <c r="B81" s="68">
        <v>2315</v>
      </c>
      <c r="C81" s="69">
        <v>600080447</v>
      </c>
      <c r="D81" s="68">
        <v>46744819</v>
      </c>
      <c r="E81" s="68" t="s">
        <v>712</v>
      </c>
      <c r="F81" s="70"/>
      <c r="G81" s="71"/>
      <c r="H81" s="72"/>
      <c r="I81" s="587">
        <f t="shared" ref="I81:N81" si="121">SUM(I80:I80)</f>
        <v>1369935</v>
      </c>
      <c r="J81" s="334">
        <f t="shared" si="121"/>
        <v>1016272</v>
      </c>
      <c r="K81" s="334">
        <f t="shared" si="121"/>
        <v>343500</v>
      </c>
      <c r="L81" s="334">
        <f t="shared" si="121"/>
        <v>10163</v>
      </c>
      <c r="M81" s="334">
        <f t="shared" si="121"/>
        <v>0</v>
      </c>
      <c r="N81" s="74">
        <f t="shared" si="121"/>
        <v>1.72</v>
      </c>
      <c r="O81" s="719">
        <f t="shared" ref="O81:AR81" si="122">SUM(O80:O80)</f>
        <v>0</v>
      </c>
      <c r="P81" s="334">
        <f t="shared" si="122"/>
        <v>0</v>
      </c>
      <c r="Q81" s="334">
        <f t="shared" si="122"/>
        <v>0</v>
      </c>
      <c r="R81" s="334">
        <f t="shared" si="122"/>
        <v>0</v>
      </c>
      <c r="S81" s="334">
        <f t="shared" si="122"/>
        <v>0</v>
      </c>
      <c r="T81" s="334">
        <f t="shared" si="122"/>
        <v>0</v>
      </c>
      <c r="U81" s="334">
        <f t="shared" si="122"/>
        <v>0</v>
      </c>
      <c r="V81" s="334">
        <f t="shared" si="122"/>
        <v>0</v>
      </c>
      <c r="W81" s="334">
        <f t="shared" si="122"/>
        <v>0</v>
      </c>
      <c r="X81" s="334">
        <f t="shared" si="122"/>
        <v>0</v>
      </c>
      <c r="Y81" s="334">
        <f t="shared" si="122"/>
        <v>0</v>
      </c>
      <c r="Z81" s="334">
        <f t="shared" si="122"/>
        <v>0</v>
      </c>
      <c r="AA81" s="334">
        <f t="shared" si="122"/>
        <v>0</v>
      </c>
      <c r="AB81" s="334">
        <f t="shared" si="122"/>
        <v>0</v>
      </c>
      <c r="AC81" s="334">
        <f t="shared" si="122"/>
        <v>0</v>
      </c>
      <c r="AD81" s="712">
        <f t="shared" si="122"/>
        <v>0</v>
      </c>
      <c r="AE81" s="716">
        <f t="shared" si="122"/>
        <v>0</v>
      </c>
      <c r="AF81" s="335">
        <f t="shared" si="122"/>
        <v>0</v>
      </c>
      <c r="AG81" s="335">
        <f t="shared" si="122"/>
        <v>0</v>
      </c>
      <c r="AH81" s="335">
        <f t="shared" si="122"/>
        <v>0</v>
      </c>
      <c r="AI81" s="335">
        <f t="shared" si="122"/>
        <v>0</v>
      </c>
      <c r="AJ81" s="335">
        <f t="shared" si="122"/>
        <v>0</v>
      </c>
      <c r="AK81" s="74">
        <f t="shared" si="122"/>
        <v>0</v>
      </c>
      <c r="AL81" s="589">
        <f t="shared" si="122"/>
        <v>1369935</v>
      </c>
      <c r="AM81" s="557">
        <f t="shared" si="122"/>
        <v>1016272</v>
      </c>
      <c r="AN81" s="557">
        <f t="shared" si="122"/>
        <v>0</v>
      </c>
      <c r="AO81" s="557">
        <f t="shared" si="122"/>
        <v>343500</v>
      </c>
      <c r="AP81" s="557">
        <f t="shared" si="122"/>
        <v>10163</v>
      </c>
      <c r="AQ81" s="557">
        <f t="shared" si="122"/>
        <v>0</v>
      </c>
      <c r="AR81" s="590">
        <f t="shared" si="122"/>
        <v>1.72</v>
      </c>
    </row>
    <row r="82" spans="1:44" s="67" customFormat="1" ht="14.1" customHeight="1" x14ac:dyDescent="0.2">
      <c r="A82" s="88">
        <v>16</v>
      </c>
      <c r="B82" s="56">
        <v>2494</v>
      </c>
      <c r="C82" s="64">
        <v>600080315</v>
      </c>
      <c r="D82" s="56">
        <v>72741996</v>
      </c>
      <c r="E82" s="56" t="s">
        <v>713</v>
      </c>
      <c r="F82" s="65">
        <v>3113</v>
      </c>
      <c r="G82" s="56" t="s">
        <v>280</v>
      </c>
      <c r="H82" s="66" t="s">
        <v>262</v>
      </c>
      <c r="I82" s="586">
        <f t="shared" si="112"/>
        <v>23973745</v>
      </c>
      <c r="J82" s="14">
        <v>17784677</v>
      </c>
      <c r="K82" s="14">
        <v>6011221</v>
      </c>
      <c r="L82" s="14">
        <v>177847</v>
      </c>
      <c r="M82" s="14">
        <v>0</v>
      </c>
      <c r="N82" s="651">
        <v>26.075600000000001</v>
      </c>
      <c r="O82" s="440">
        <f>(V82*-1)+X82*-1</f>
        <v>0</v>
      </c>
      <c r="P82" s="325">
        <v>0</v>
      </c>
      <c r="Q82" s="325">
        <v>0</v>
      </c>
      <c r="R82" s="325">
        <v>0</v>
      </c>
      <c r="S82" s="325">
        <v>0</v>
      </c>
      <c r="T82" s="325">
        <v>0</v>
      </c>
      <c r="U82" s="492">
        <f>O82+P82+Q82+R82+S82+T82</f>
        <v>0</v>
      </c>
      <c r="V82" s="325">
        <v>0</v>
      </c>
      <c r="W82" s="325">
        <v>0</v>
      </c>
      <c r="X82" s="325">
        <v>0</v>
      </c>
      <c r="Y82" s="492">
        <f t="shared" ref="Y82:Y86" si="123">V82+W82+X82</f>
        <v>0</v>
      </c>
      <c r="Z82" s="492">
        <f t="shared" ref="Z82:Z86" si="124">U82+Y82</f>
        <v>0</v>
      </c>
      <c r="AA82" s="494">
        <f t="shared" ref="AA82:AA86" si="125">ROUND((U82+Y82)*33.8%,0)</f>
        <v>0</v>
      </c>
      <c r="AB82" s="55">
        <f>ROUND(U82*1%,0)</f>
        <v>0</v>
      </c>
      <c r="AC82" s="14">
        <v>0</v>
      </c>
      <c r="AD82" s="622">
        <f t="shared" si="116"/>
        <v>0</v>
      </c>
      <c r="AE82" s="715">
        <v>0</v>
      </c>
      <c r="AF82" s="326">
        <v>0</v>
      </c>
      <c r="AG82" s="326">
        <v>0</v>
      </c>
      <c r="AH82" s="326">
        <v>0</v>
      </c>
      <c r="AI82" s="326">
        <v>0</v>
      </c>
      <c r="AJ82" s="326">
        <v>0</v>
      </c>
      <c r="AK82" s="626">
        <f>SUM(AE82:AJ82)</f>
        <v>0</v>
      </c>
      <c r="AL82" s="696">
        <f>I82+AD82</f>
        <v>23973745</v>
      </c>
      <c r="AM82" s="492">
        <f>J82+U82</f>
        <v>17784677</v>
      </c>
      <c r="AN82" s="492">
        <f>Y82</f>
        <v>0</v>
      </c>
      <c r="AO82" s="492">
        <f t="shared" ref="AO82:AP86" si="126">K82+AA82</f>
        <v>6011221</v>
      </c>
      <c r="AP82" s="492">
        <f t="shared" si="126"/>
        <v>177847</v>
      </c>
      <c r="AQ82" s="578">
        <f t="shared" si="117"/>
        <v>0</v>
      </c>
      <c r="AR82" s="626">
        <f>N82+AK82</f>
        <v>26.075600000000001</v>
      </c>
    </row>
    <row r="83" spans="1:44" s="67" customFormat="1" ht="14.1" customHeight="1" x14ac:dyDescent="0.2">
      <c r="A83" s="88">
        <v>16</v>
      </c>
      <c r="B83" s="56">
        <v>2494</v>
      </c>
      <c r="C83" s="64">
        <v>600080315</v>
      </c>
      <c r="D83" s="56">
        <v>72741996</v>
      </c>
      <c r="E83" s="56" t="s">
        <v>713</v>
      </c>
      <c r="F83" s="65">
        <v>3113</v>
      </c>
      <c r="G83" s="39" t="s">
        <v>279</v>
      </c>
      <c r="H83" s="66" t="s">
        <v>262</v>
      </c>
      <c r="I83" s="586">
        <f t="shared" si="112"/>
        <v>929505</v>
      </c>
      <c r="J83" s="14">
        <v>689544</v>
      </c>
      <c r="K83" s="14">
        <v>233066</v>
      </c>
      <c r="L83" s="14">
        <v>6895</v>
      </c>
      <c r="M83" s="14">
        <v>0</v>
      </c>
      <c r="N83" s="651">
        <v>1.5</v>
      </c>
      <c r="O83" s="440">
        <f t="shared" si="85"/>
        <v>0</v>
      </c>
      <c r="P83" s="325">
        <v>0</v>
      </c>
      <c r="Q83" s="325">
        <v>0</v>
      </c>
      <c r="R83" s="325">
        <v>0</v>
      </c>
      <c r="S83" s="325">
        <v>0</v>
      </c>
      <c r="T83" s="325">
        <v>0</v>
      </c>
      <c r="U83" s="492">
        <f>O83+P83+Q83+R83+S83+T83</f>
        <v>0</v>
      </c>
      <c r="V83" s="325">
        <v>0</v>
      </c>
      <c r="W83" s="325">
        <v>0</v>
      </c>
      <c r="X83" s="325">
        <v>0</v>
      </c>
      <c r="Y83" s="492">
        <f t="shared" si="123"/>
        <v>0</v>
      </c>
      <c r="Z83" s="492">
        <f t="shared" si="124"/>
        <v>0</v>
      </c>
      <c r="AA83" s="494">
        <f t="shared" si="125"/>
        <v>0</v>
      </c>
      <c r="AB83" s="55">
        <f>ROUND(U83*1%,0)</f>
        <v>0</v>
      </c>
      <c r="AC83" s="14">
        <v>0</v>
      </c>
      <c r="AD83" s="622">
        <f t="shared" si="116"/>
        <v>0</v>
      </c>
      <c r="AE83" s="715">
        <v>0</v>
      </c>
      <c r="AF83" s="326">
        <v>0</v>
      </c>
      <c r="AG83" s="326">
        <v>0</v>
      </c>
      <c r="AH83" s="326">
        <v>0</v>
      </c>
      <c r="AI83" s="326">
        <v>0</v>
      </c>
      <c r="AJ83" s="326">
        <v>0</v>
      </c>
      <c r="AK83" s="626">
        <f>SUM(AE83:AJ83)</f>
        <v>0</v>
      </c>
      <c r="AL83" s="696">
        <f>I83+AD83</f>
        <v>929505</v>
      </c>
      <c r="AM83" s="492">
        <f>J83+U83</f>
        <v>689544</v>
      </c>
      <c r="AN83" s="492">
        <f>Y83</f>
        <v>0</v>
      </c>
      <c r="AO83" s="492">
        <f t="shared" si="126"/>
        <v>233066</v>
      </c>
      <c r="AP83" s="492">
        <f t="shared" si="126"/>
        <v>6895</v>
      </c>
      <c r="AQ83" s="578">
        <f t="shared" si="117"/>
        <v>0</v>
      </c>
      <c r="AR83" s="626">
        <f>N83+AK83</f>
        <v>1.5</v>
      </c>
    </row>
    <row r="84" spans="1:44" s="67" customFormat="1" ht="14.1" customHeight="1" x14ac:dyDescent="0.2">
      <c r="A84" s="88">
        <v>16</v>
      </c>
      <c r="B84" s="56">
        <v>2494</v>
      </c>
      <c r="C84" s="64">
        <v>600080315</v>
      </c>
      <c r="D84" s="56">
        <v>72741996</v>
      </c>
      <c r="E84" s="56" t="s">
        <v>713</v>
      </c>
      <c r="F84" s="65">
        <v>3113</v>
      </c>
      <c r="G84" s="56" t="s">
        <v>799</v>
      </c>
      <c r="H84" s="66" t="s">
        <v>262</v>
      </c>
      <c r="I84" s="586">
        <f t="shared" si="112"/>
        <v>132867</v>
      </c>
      <c r="J84" s="14">
        <v>98566</v>
      </c>
      <c r="K84" s="14">
        <v>33315</v>
      </c>
      <c r="L84" s="14">
        <v>986</v>
      </c>
      <c r="M84" s="14">
        <v>0</v>
      </c>
      <c r="N84" s="651">
        <v>0.2</v>
      </c>
      <c r="O84" s="440">
        <f t="shared" ref="O84" si="127">V84*-1</f>
        <v>0</v>
      </c>
      <c r="P84" s="325">
        <v>0</v>
      </c>
      <c r="Q84" s="325">
        <v>0</v>
      </c>
      <c r="R84" s="325">
        <v>0</v>
      </c>
      <c r="S84" s="325">
        <v>0</v>
      </c>
      <c r="T84" s="325">
        <v>0</v>
      </c>
      <c r="U84" s="492">
        <f>O84+P84+Q84+R84+S84+T84</f>
        <v>0</v>
      </c>
      <c r="V84" s="325">
        <v>0</v>
      </c>
      <c r="W84" s="325">
        <v>0</v>
      </c>
      <c r="X84" s="325">
        <v>0</v>
      </c>
      <c r="Y84" s="492">
        <f t="shared" ref="Y84" si="128">V84+W84+X84</f>
        <v>0</v>
      </c>
      <c r="Z84" s="492">
        <f t="shared" ref="Z84" si="129">U84+Y84</f>
        <v>0</v>
      </c>
      <c r="AA84" s="494">
        <f t="shared" ref="AA84" si="130">ROUND((U84+Y84)*33.8%,0)</f>
        <v>0</v>
      </c>
      <c r="AB84" s="55">
        <f>ROUND(U84*1%,0)</f>
        <v>0</v>
      </c>
      <c r="AC84" s="14">
        <v>0</v>
      </c>
      <c r="AD84" s="622">
        <f t="shared" si="116"/>
        <v>0</v>
      </c>
      <c r="AE84" s="715">
        <v>0</v>
      </c>
      <c r="AF84" s="326">
        <v>0</v>
      </c>
      <c r="AG84" s="326">
        <v>0</v>
      </c>
      <c r="AH84" s="326">
        <v>0</v>
      </c>
      <c r="AI84" s="326">
        <v>0</v>
      </c>
      <c r="AJ84" s="326">
        <v>0</v>
      </c>
      <c r="AK84" s="626">
        <f>SUM(AE84:AJ84)</f>
        <v>0</v>
      </c>
      <c r="AL84" s="696">
        <f>I84+AD84</f>
        <v>132867</v>
      </c>
      <c r="AM84" s="492">
        <f>J84+U84</f>
        <v>98566</v>
      </c>
      <c r="AN84" s="492">
        <f>Y84</f>
        <v>0</v>
      </c>
      <c r="AO84" s="492">
        <f t="shared" si="126"/>
        <v>33315</v>
      </c>
      <c r="AP84" s="492">
        <f t="shared" si="126"/>
        <v>986</v>
      </c>
      <c r="AQ84" s="578">
        <f t="shared" si="117"/>
        <v>0</v>
      </c>
      <c r="AR84" s="626">
        <f>N84+AK84</f>
        <v>0.2</v>
      </c>
    </row>
    <row r="85" spans="1:44" s="67" customFormat="1" ht="14.1" customHeight="1" x14ac:dyDescent="0.2">
      <c r="A85" s="88">
        <v>16</v>
      </c>
      <c r="B85" s="73">
        <v>2494</v>
      </c>
      <c r="C85" s="64">
        <v>600080315</v>
      </c>
      <c r="D85" s="56">
        <v>72741996</v>
      </c>
      <c r="E85" s="73" t="s">
        <v>713</v>
      </c>
      <c r="F85" s="65">
        <v>3113</v>
      </c>
      <c r="G85" s="56" t="s">
        <v>278</v>
      </c>
      <c r="H85" s="66" t="s">
        <v>263</v>
      </c>
      <c r="I85" s="586">
        <f t="shared" si="112"/>
        <v>0</v>
      </c>
      <c r="J85" s="423">
        <v>0</v>
      </c>
      <c r="K85" s="14">
        <v>0</v>
      </c>
      <c r="L85" s="14">
        <v>0</v>
      </c>
      <c r="M85" s="14">
        <v>0</v>
      </c>
      <c r="N85" s="725">
        <v>0</v>
      </c>
      <c r="O85" s="440">
        <f t="shared" si="85"/>
        <v>0</v>
      </c>
      <c r="P85" s="423">
        <v>4295429</v>
      </c>
      <c r="Q85" s="325">
        <v>0</v>
      </c>
      <c r="R85" s="325">
        <v>0</v>
      </c>
      <c r="S85" s="325">
        <v>0</v>
      </c>
      <c r="T85" s="325">
        <v>0</v>
      </c>
      <c r="U85" s="492">
        <f>O85+P85+Q85+R85+S85+T85</f>
        <v>4295429</v>
      </c>
      <c r="V85" s="325">
        <v>0</v>
      </c>
      <c r="W85" s="325">
        <v>0</v>
      </c>
      <c r="X85" s="325">
        <v>0</v>
      </c>
      <c r="Y85" s="492">
        <f t="shared" si="123"/>
        <v>0</v>
      </c>
      <c r="Z85" s="492">
        <f t="shared" si="124"/>
        <v>4295429</v>
      </c>
      <c r="AA85" s="494">
        <f t="shared" si="125"/>
        <v>1451855</v>
      </c>
      <c r="AB85" s="55">
        <f>ROUND(U85*1%,0)</f>
        <v>42954</v>
      </c>
      <c r="AC85" s="14">
        <v>0</v>
      </c>
      <c r="AD85" s="622">
        <f t="shared" si="116"/>
        <v>5790238</v>
      </c>
      <c r="AE85" s="715">
        <v>0</v>
      </c>
      <c r="AF85" s="729">
        <v>10.51</v>
      </c>
      <c r="AG85" s="326">
        <v>0</v>
      </c>
      <c r="AH85" s="326">
        <v>0</v>
      </c>
      <c r="AI85" s="326">
        <v>0</v>
      </c>
      <c r="AJ85" s="326">
        <v>0</v>
      </c>
      <c r="AK85" s="626">
        <f>SUM(AE85:AJ85)</f>
        <v>10.51</v>
      </c>
      <c r="AL85" s="696">
        <f>I85+AD85</f>
        <v>5790238</v>
      </c>
      <c r="AM85" s="492">
        <f>J85+U85</f>
        <v>4295429</v>
      </c>
      <c r="AN85" s="492">
        <f>Y85</f>
        <v>0</v>
      </c>
      <c r="AO85" s="492">
        <f t="shared" si="126"/>
        <v>1451855</v>
      </c>
      <c r="AP85" s="492">
        <f t="shared" si="126"/>
        <v>42954</v>
      </c>
      <c r="AQ85" s="578">
        <f t="shared" si="117"/>
        <v>0</v>
      </c>
      <c r="AR85" s="626">
        <f>N85+AK85</f>
        <v>10.51</v>
      </c>
    </row>
    <row r="86" spans="1:44" s="67" customFormat="1" ht="14.1" customHeight="1" x14ac:dyDescent="0.2">
      <c r="A86" s="88">
        <v>16</v>
      </c>
      <c r="B86" s="56">
        <v>2494</v>
      </c>
      <c r="C86" s="64">
        <v>600080315</v>
      </c>
      <c r="D86" s="56">
        <v>72741996</v>
      </c>
      <c r="E86" s="56" t="s">
        <v>713</v>
      </c>
      <c r="F86" s="65">
        <v>3143</v>
      </c>
      <c r="G86" s="56" t="s">
        <v>794</v>
      </c>
      <c r="H86" s="66" t="s">
        <v>262</v>
      </c>
      <c r="I86" s="586">
        <f t="shared" si="112"/>
        <v>1365105</v>
      </c>
      <c r="J86" s="14">
        <v>1012689</v>
      </c>
      <c r="K86" s="14">
        <v>342289</v>
      </c>
      <c r="L86" s="14">
        <v>10127</v>
      </c>
      <c r="M86" s="14">
        <v>0</v>
      </c>
      <c r="N86" s="651">
        <v>2.0489999999999999</v>
      </c>
      <c r="O86" s="440">
        <f t="shared" si="85"/>
        <v>0</v>
      </c>
      <c r="P86" s="325">
        <v>0</v>
      </c>
      <c r="Q86" s="325">
        <v>0</v>
      </c>
      <c r="R86" s="325">
        <v>0</v>
      </c>
      <c r="S86" s="325">
        <v>0</v>
      </c>
      <c r="T86" s="325">
        <v>0</v>
      </c>
      <c r="U86" s="492">
        <f>O86+P86+Q86+R86+S86+T86</f>
        <v>0</v>
      </c>
      <c r="V86" s="325">
        <v>0</v>
      </c>
      <c r="W86" s="325">
        <v>0</v>
      </c>
      <c r="X86" s="325">
        <v>0</v>
      </c>
      <c r="Y86" s="492">
        <f t="shared" si="123"/>
        <v>0</v>
      </c>
      <c r="Z86" s="492">
        <f t="shared" si="124"/>
        <v>0</v>
      </c>
      <c r="AA86" s="494">
        <f t="shared" si="125"/>
        <v>0</v>
      </c>
      <c r="AB86" s="55">
        <f>ROUND(U86*1%,0)</f>
        <v>0</v>
      </c>
      <c r="AC86" s="14">
        <v>0</v>
      </c>
      <c r="AD86" s="622">
        <f t="shared" si="116"/>
        <v>0</v>
      </c>
      <c r="AE86" s="715">
        <v>0</v>
      </c>
      <c r="AF86" s="326">
        <v>0</v>
      </c>
      <c r="AG86" s="326">
        <v>0</v>
      </c>
      <c r="AH86" s="326">
        <v>0</v>
      </c>
      <c r="AI86" s="326">
        <v>0</v>
      </c>
      <c r="AJ86" s="326">
        <v>0</v>
      </c>
      <c r="AK86" s="626">
        <f>SUM(AE86:AJ86)</f>
        <v>0</v>
      </c>
      <c r="AL86" s="696">
        <f>I86+AD86</f>
        <v>1365105</v>
      </c>
      <c r="AM86" s="492">
        <f>J86+U86</f>
        <v>1012689</v>
      </c>
      <c r="AN86" s="492">
        <f>Y86</f>
        <v>0</v>
      </c>
      <c r="AO86" s="492">
        <f t="shared" si="126"/>
        <v>342289</v>
      </c>
      <c r="AP86" s="492">
        <f t="shared" si="126"/>
        <v>10127</v>
      </c>
      <c r="AQ86" s="578">
        <f t="shared" si="117"/>
        <v>0</v>
      </c>
      <c r="AR86" s="626">
        <f>N86+AK86</f>
        <v>2.0489999999999999</v>
      </c>
    </row>
    <row r="87" spans="1:44" s="67" customFormat="1" ht="14.1" customHeight="1" x14ac:dyDescent="0.2">
      <c r="A87" s="89">
        <v>16</v>
      </c>
      <c r="B87" s="68">
        <v>2494</v>
      </c>
      <c r="C87" s="69">
        <v>600080315</v>
      </c>
      <c r="D87" s="68">
        <v>72741996</v>
      </c>
      <c r="E87" s="68" t="s">
        <v>714</v>
      </c>
      <c r="F87" s="70"/>
      <c r="G87" s="71"/>
      <c r="H87" s="72"/>
      <c r="I87" s="587">
        <f t="shared" ref="I87:AR87" si="131">SUM(I82:I86)</f>
        <v>26401222</v>
      </c>
      <c r="J87" s="334">
        <f t="shared" si="131"/>
        <v>19585476</v>
      </c>
      <c r="K87" s="334">
        <f t="shared" si="131"/>
        <v>6619891</v>
      </c>
      <c r="L87" s="334">
        <f t="shared" si="131"/>
        <v>195855</v>
      </c>
      <c r="M87" s="334">
        <f t="shared" si="131"/>
        <v>0</v>
      </c>
      <c r="N87" s="74">
        <f t="shared" si="131"/>
        <v>29.8246</v>
      </c>
      <c r="O87" s="719">
        <f t="shared" si="131"/>
        <v>0</v>
      </c>
      <c r="P87" s="334">
        <f t="shared" si="131"/>
        <v>4295429</v>
      </c>
      <c r="Q87" s="334">
        <f t="shared" si="131"/>
        <v>0</v>
      </c>
      <c r="R87" s="334">
        <f t="shared" si="131"/>
        <v>0</v>
      </c>
      <c r="S87" s="334">
        <f t="shared" si="131"/>
        <v>0</v>
      </c>
      <c r="T87" s="334">
        <f t="shared" si="131"/>
        <v>0</v>
      </c>
      <c r="U87" s="334">
        <f t="shared" si="131"/>
        <v>4295429</v>
      </c>
      <c r="V87" s="334">
        <f t="shared" si="131"/>
        <v>0</v>
      </c>
      <c r="W87" s="334">
        <f t="shared" si="131"/>
        <v>0</v>
      </c>
      <c r="X87" s="334">
        <f t="shared" si="131"/>
        <v>0</v>
      </c>
      <c r="Y87" s="334">
        <f t="shared" si="131"/>
        <v>0</v>
      </c>
      <c r="Z87" s="334">
        <f t="shared" si="131"/>
        <v>4295429</v>
      </c>
      <c r="AA87" s="334">
        <f t="shared" si="131"/>
        <v>1451855</v>
      </c>
      <c r="AB87" s="334">
        <f t="shared" si="131"/>
        <v>42954</v>
      </c>
      <c r="AC87" s="334">
        <f t="shared" si="131"/>
        <v>0</v>
      </c>
      <c r="AD87" s="712">
        <f t="shared" si="131"/>
        <v>5790238</v>
      </c>
      <c r="AE87" s="716">
        <f t="shared" si="131"/>
        <v>0</v>
      </c>
      <c r="AF87" s="335">
        <f t="shared" si="131"/>
        <v>10.51</v>
      </c>
      <c r="AG87" s="335">
        <f t="shared" si="131"/>
        <v>0</v>
      </c>
      <c r="AH87" s="335">
        <f t="shared" si="131"/>
        <v>0</v>
      </c>
      <c r="AI87" s="335">
        <f t="shared" si="131"/>
        <v>0</v>
      </c>
      <c r="AJ87" s="335">
        <f t="shared" si="131"/>
        <v>0</v>
      </c>
      <c r="AK87" s="74">
        <f t="shared" si="131"/>
        <v>10.51</v>
      </c>
      <c r="AL87" s="589">
        <f t="shared" si="131"/>
        <v>32191460</v>
      </c>
      <c r="AM87" s="557">
        <f t="shared" si="131"/>
        <v>23880905</v>
      </c>
      <c r="AN87" s="557">
        <f t="shared" si="131"/>
        <v>0</v>
      </c>
      <c r="AO87" s="557">
        <f t="shared" si="131"/>
        <v>8071746</v>
      </c>
      <c r="AP87" s="557">
        <f t="shared" si="131"/>
        <v>238809</v>
      </c>
      <c r="AQ87" s="557">
        <f t="shared" si="131"/>
        <v>0</v>
      </c>
      <c r="AR87" s="590">
        <f t="shared" si="131"/>
        <v>40.334600000000002</v>
      </c>
    </row>
    <row r="88" spans="1:44" s="67" customFormat="1" ht="14.1" customHeight="1" x14ac:dyDescent="0.2">
      <c r="A88" s="88">
        <v>17</v>
      </c>
      <c r="B88" s="56">
        <v>2301</v>
      </c>
      <c r="C88" s="64">
        <v>600080226</v>
      </c>
      <c r="D88" s="56">
        <v>72741830</v>
      </c>
      <c r="E88" s="56" t="s">
        <v>715</v>
      </c>
      <c r="F88" s="65">
        <v>3231</v>
      </c>
      <c r="G88" s="56" t="s">
        <v>281</v>
      </c>
      <c r="H88" s="66" t="s">
        <v>262</v>
      </c>
      <c r="I88" s="586">
        <f t="shared" si="112"/>
        <v>5867902</v>
      </c>
      <c r="J88" s="723">
        <v>4353043</v>
      </c>
      <c r="K88" s="14">
        <v>1471329</v>
      </c>
      <c r="L88" s="14">
        <v>43530</v>
      </c>
      <c r="M88" s="14">
        <v>0</v>
      </c>
      <c r="N88" s="631">
        <v>6.5387000000000004</v>
      </c>
      <c r="O88" s="440">
        <f t="shared" si="85"/>
        <v>0</v>
      </c>
      <c r="P88" s="325">
        <v>0</v>
      </c>
      <c r="Q88" s="325">
        <v>0</v>
      </c>
      <c r="R88" s="325">
        <v>0</v>
      </c>
      <c r="S88" s="325">
        <v>0</v>
      </c>
      <c r="T88" s="325">
        <v>0</v>
      </c>
      <c r="U88" s="492">
        <f>O88+P88+Q88+R88+S88+T88</f>
        <v>0</v>
      </c>
      <c r="V88" s="325">
        <v>0</v>
      </c>
      <c r="W88" s="325">
        <v>0</v>
      </c>
      <c r="X88" s="325">
        <v>0</v>
      </c>
      <c r="Y88" s="492">
        <f>V88+W88+X88</f>
        <v>0</v>
      </c>
      <c r="Z88" s="492">
        <f>U88+Y88</f>
        <v>0</v>
      </c>
      <c r="AA88" s="494">
        <f>ROUND((U88+Y88)*33.8%,0)</f>
        <v>0</v>
      </c>
      <c r="AB88" s="55">
        <f>ROUND(U88*1%,0)</f>
        <v>0</v>
      </c>
      <c r="AC88" s="14">
        <v>0</v>
      </c>
      <c r="AD88" s="622">
        <f t="shared" si="116"/>
        <v>0</v>
      </c>
      <c r="AE88" s="715">
        <v>0</v>
      </c>
      <c r="AF88" s="326">
        <v>0</v>
      </c>
      <c r="AG88" s="326">
        <v>0</v>
      </c>
      <c r="AH88" s="326">
        <v>0</v>
      </c>
      <c r="AI88" s="326">
        <v>0</v>
      </c>
      <c r="AJ88" s="326">
        <v>0</v>
      </c>
      <c r="AK88" s="626">
        <f>SUM(AE88:AJ88)</f>
        <v>0</v>
      </c>
      <c r="AL88" s="696">
        <f>I88+AD88</f>
        <v>5867902</v>
      </c>
      <c r="AM88" s="492">
        <f>J88+U88</f>
        <v>4353043</v>
      </c>
      <c r="AN88" s="492">
        <f>Y88</f>
        <v>0</v>
      </c>
      <c r="AO88" s="492">
        <f>K88+AA88</f>
        <v>1471329</v>
      </c>
      <c r="AP88" s="492">
        <f>L88+AB88</f>
        <v>43530</v>
      </c>
      <c r="AQ88" s="578">
        <f t="shared" si="117"/>
        <v>0</v>
      </c>
      <c r="AR88" s="626">
        <f>N88+AK88</f>
        <v>6.5387000000000004</v>
      </c>
    </row>
    <row r="89" spans="1:44" s="67" customFormat="1" ht="14.1" customHeight="1" x14ac:dyDescent="0.2">
      <c r="A89" s="89">
        <v>17</v>
      </c>
      <c r="B89" s="68">
        <v>2301</v>
      </c>
      <c r="C89" s="69">
        <v>600080226</v>
      </c>
      <c r="D89" s="68">
        <v>72741830</v>
      </c>
      <c r="E89" s="68" t="s">
        <v>716</v>
      </c>
      <c r="F89" s="70"/>
      <c r="G89" s="71"/>
      <c r="H89" s="72"/>
      <c r="I89" s="588">
        <f t="shared" ref="I89:N89" si="132">SUM(I88)</f>
        <v>5867902</v>
      </c>
      <c r="J89" s="336">
        <f t="shared" si="132"/>
        <v>4353043</v>
      </c>
      <c r="K89" s="336">
        <f t="shared" si="132"/>
        <v>1471329</v>
      </c>
      <c r="L89" s="336">
        <f t="shared" si="132"/>
        <v>43530</v>
      </c>
      <c r="M89" s="336">
        <f t="shared" si="132"/>
        <v>0</v>
      </c>
      <c r="N89" s="78">
        <f t="shared" si="132"/>
        <v>6.5387000000000004</v>
      </c>
      <c r="O89" s="720">
        <f t="shared" ref="O89:AR89" si="133">SUM(O88)</f>
        <v>0</v>
      </c>
      <c r="P89" s="336">
        <f t="shared" si="133"/>
        <v>0</v>
      </c>
      <c r="Q89" s="336">
        <f t="shared" si="133"/>
        <v>0</v>
      </c>
      <c r="R89" s="336">
        <f t="shared" si="133"/>
        <v>0</v>
      </c>
      <c r="S89" s="336">
        <f t="shared" si="133"/>
        <v>0</v>
      </c>
      <c r="T89" s="336">
        <f t="shared" si="133"/>
        <v>0</v>
      </c>
      <c r="U89" s="336">
        <f t="shared" si="133"/>
        <v>0</v>
      </c>
      <c r="V89" s="336">
        <f t="shared" si="133"/>
        <v>0</v>
      </c>
      <c r="W89" s="336">
        <f t="shared" si="133"/>
        <v>0</v>
      </c>
      <c r="X89" s="336">
        <f t="shared" si="133"/>
        <v>0</v>
      </c>
      <c r="Y89" s="336">
        <f t="shared" si="133"/>
        <v>0</v>
      </c>
      <c r="Z89" s="336">
        <f t="shared" si="133"/>
        <v>0</v>
      </c>
      <c r="AA89" s="336">
        <f t="shared" si="133"/>
        <v>0</v>
      </c>
      <c r="AB89" s="336">
        <f t="shared" si="133"/>
        <v>0</v>
      </c>
      <c r="AC89" s="336">
        <f t="shared" si="133"/>
        <v>0</v>
      </c>
      <c r="AD89" s="713">
        <f t="shared" si="133"/>
        <v>0</v>
      </c>
      <c r="AE89" s="717">
        <f t="shared" si="133"/>
        <v>0</v>
      </c>
      <c r="AF89" s="337">
        <f t="shared" si="133"/>
        <v>0</v>
      </c>
      <c r="AG89" s="337">
        <f t="shared" si="133"/>
        <v>0</v>
      </c>
      <c r="AH89" s="337">
        <f t="shared" si="133"/>
        <v>0</v>
      </c>
      <c r="AI89" s="337">
        <f t="shared" si="133"/>
        <v>0</v>
      </c>
      <c r="AJ89" s="337">
        <f t="shared" si="133"/>
        <v>0</v>
      </c>
      <c r="AK89" s="78">
        <f t="shared" si="133"/>
        <v>0</v>
      </c>
      <c r="AL89" s="697">
        <f t="shared" si="133"/>
        <v>5867902</v>
      </c>
      <c r="AM89" s="558">
        <f t="shared" si="133"/>
        <v>4353043</v>
      </c>
      <c r="AN89" s="558">
        <f t="shared" si="133"/>
        <v>0</v>
      </c>
      <c r="AO89" s="558">
        <f t="shared" si="133"/>
        <v>1471329</v>
      </c>
      <c r="AP89" s="558">
        <f t="shared" si="133"/>
        <v>43530</v>
      </c>
      <c r="AQ89" s="558">
        <f t="shared" si="133"/>
        <v>0</v>
      </c>
      <c r="AR89" s="621">
        <f t="shared" si="133"/>
        <v>6.5387000000000004</v>
      </c>
    </row>
    <row r="90" spans="1:44" s="67" customFormat="1" ht="14.1" customHeight="1" x14ac:dyDescent="0.2">
      <c r="A90" s="88">
        <v>18</v>
      </c>
      <c r="B90" s="73">
        <v>2497</v>
      </c>
      <c r="C90" s="64">
        <v>600080064</v>
      </c>
      <c r="D90" s="56">
        <v>72744189</v>
      </c>
      <c r="E90" s="56" t="s">
        <v>717</v>
      </c>
      <c r="F90" s="65">
        <v>3111</v>
      </c>
      <c r="G90" s="56" t="s">
        <v>277</v>
      </c>
      <c r="H90" s="66" t="s">
        <v>262</v>
      </c>
      <c r="I90" s="586">
        <f t="shared" si="112"/>
        <v>6487400</v>
      </c>
      <c r="J90" s="14">
        <v>4812611</v>
      </c>
      <c r="K90" s="14">
        <v>1626663</v>
      </c>
      <c r="L90" s="14">
        <v>48126</v>
      </c>
      <c r="M90" s="14">
        <v>0</v>
      </c>
      <c r="N90" s="651">
        <v>8</v>
      </c>
      <c r="O90" s="440">
        <f t="shared" si="85"/>
        <v>-60000</v>
      </c>
      <c r="P90" s="325">
        <v>0</v>
      </c>
      <c r="Q90" s="325">
        <v>0</v>
      </c>
      <c r="R90" s="325">
        <v>0</v>
      </c>
      <c r="S90" s="325">
        <v>0</v>
      </c>
      <c r="T90" s="325">
        <v>0</v>
      </c>
      <c r="U90" s="492">
        <f t="shared" ref="U90:U96" si="134">O90+P90+Q90+R90+S90+T90</f>
        <v>-60000</v>
      </c>
      <c r="V90" s="325">
        <v>60000</v>
      </c>
      <c r="W90" s="325">
        <v>0</v>
      </c>
      <c r="X90" s="325">
        <v>0</v>
      </c>
      <c r="Y90" s="492">
        <f t="shared" ref="Y90:Y96" si="135">V90+W90+X90</f>
        <v>60000</v>
      </c>
      <c r="Z90" s="492">
        <f t="shared" ref="Z90:Z96" si="136">U90+Y90</f>
        <v>0</v>
      </c>
      <c r="AA90" s="494">
        <f t="shared" ref="AA90:AA96" si="137">ROUND((U90+Y90)*33.8%,0)</f>
        <v>0</v>
      </c>
      <c r="AB90" s="55">
        <f t="shared" ref="AB90:AB96" si="138">ROUND(U90*1%,0)</f>
        <v>-600</v>
      </c>
      <c r="AC90" s="14">
        <v>0</v>
      </c>
      <c r="AD90" s="622">
        <f t="shared" si="116"/>
        <v>-600</v>
      </c>
      <c r="AE90" s="715">
        <v>-0.08</v>
      </c>
      <c r="AF90" s="326">
        <v>0</v>
      </c>
      <c r="AG90" s="326">
        <v>0</v>
      </c>
      <c r="AH90" s="326">
        <v>0</v>
      </c>
      <c r="AI90" s="326">
        <v>0</v>
      </c>
      <c r="AJ90" s="326">
        <v>0</v>
      </c>
      <c r="AK90" s="626">
        <f t="shared" ref="AK90:AK96" si="139">SUM(AE90:AJ90)</f>
        <v>-0.08</v>
      </c>
      <c r="AL90" s="696">
        <f t="shared" ref="AL90:AL96" si="140">I90+AD90</f>
        <v>6486800</v>
      </c>
      <c r="AM90" s="492">
        <f t="shared" ref="AM90:AM96" si="141">J90+U90</f>
        <v>4752611</v>
      </c>
      <c r="AN90" s="492">
        <f t="shared" ref="AN90:AN96" si="142">Y90</f>
        <v>60000</v>
      </c>
      <c r="AO90" s="492">
        <f t="shared" ref="AO90:AP96" si="143">K90+AA90</f>
        <v>1626663</v>
      </c>
      <c r="AP90" s="492">
        <f t="shared" si="143"/>
        <v>47526</v>
      </c>
      <c r="AQ90" s="578">
        <f t="shared" si="117"/>
        <v>0</v>
      </c>
      <c r="AR90" s="626">
        <f t="shared" ref="AR90:AR96" si="144">N90+AK90</f>
        <v>7.92</v>
      </c>
    </row>
    <row r="91" spans="1:44" s="67" customFormat="1" ht="14.1" customHeight="1" x14ac:dyDescent="0.2">
      <c r="A91" s="88">
        <v>18</v>
      </c>
      <c r="B91" s="56">
        <v>2497</v>
      </c>
      <c r="C91" s="64">
        <v>600080064</v>
      </c>
      <c r="D91" s="56">
        <v>72744189</v>
      </c>
      <c r="E91" s="56" t="s">
        <v>717</v>
      </c>
      <c r="F91" s="65">
        <v>3113</v>
      </c>
      <c r="G91" s="56" t="s">
        <v>280</v>
      </c>
      <c r="H91" s="66" t="s">
        <v>262</v>
      </c>
      <c r="I91" s="586">
        <f t="shared" si="112"/>
        <v>19796724</v>
      </c>
      <c r="J91" s="14">
        <v>14685997</v>
      </c>
      <c r="K91" s="14">
        <v>4963866</v>
      </c>
      <c r="L91" s="14">
        <v>146861</v>
      </c>
      <c r="M91" s="14">
        <v>0</v>
      </c>
      <c r="N91" s="651">
        <v>20.6462</v>
      </c>
      <c r="O91" s="440">
        <f t="shared" si="85"/>
        <v>-66000</v>
      </c>
      <c r="P91" s="325">
        <v>0</v>
      </c>
      <c r="Q91" s="325">
        <v>0</v>
      </c>
      <c r="R91" s="325">
        <v>0</v>
      </c>
      <c r="S91" s="325">
        <v>0</v>
      </c>
      <c r="T91" s="325">
        <v>0</v>
      </c>
      <c r="U91" s="492">
        <f t="shared" si="134"/>
        <v>-66000</v>
      </c>
      <c r="V91" s="325">
        <v>66000</v>
      </c>
      <c r="W91" s="325">
        <v>0</v>
      </c>
      <c r="X91" s="325">
        <v>0</v>
      </c>
      <c r="Y91" s="492">
        <f t="shared" si="135"/>
        <v>66000</v>
      </c>
      <c r="Z91" s="492">
        <f t="shared" si="136"/>
        <v>0</v>
      </c>
      <c r="AA91" s="494">
        <f t="shared" si="137"/>
        <v>0</v>
      </c>
      <c r="AB91" s="55">
        <f t="shared" si="138"/>
        <v>-660</v>
      </c>
      <c r="AC91" s="14">
        <v>0</v>
      </c>
      <c r="AD91" s="622">
        <f t="shared" si="116"/>
        <v>-660</v>
      </c>
      <c r="AE91" s="715">
        <v>0</v>
      </c>
      <c r="AF91" s="326">
        <v>0</v>
      </c>
      <c r="AG91" s="326">
        <v>0</v>
      </c>
      <c r="AH91" s="326">
        <v>0</v>
      </c>
      <c r="AI91" s="326">
        <v>0</v>
      </c>
      <c r="AJ91" s="326">
        <v>0</v>
      </c>
      <c r="AK91" s="626">
        <f t="shared" si="139"/>
        <v>0</v>
      </c>
      <c r="AL91" s="696">
        <f t="shared" si="140"/>
        <v>19796064</v>
      </c>
      <c r="AM91" s="492">
        <f t="shared" si="141"/>
        <v>14619997</v>
      </c>
      <c r="AN91" s="492">
        <f t="shared" si="142"/>
        <v>66000</v>
      </c>
      <c r="AO91" s="492">
        <f t="shared" si="143"/>
        <v>4963866</v>
      </c>
      <c r="AP91" s="492">
        <f t="shared" si="143"/>
        <v>146201</v>
      </c>
      <c r="AQ91" s="578">
        <f t="shared" si="117"/>
        <v>0</v>
      </c>
      <c r="AR91" s="626">
        <f t="shared" si="144"/>
        <v>20.6462</v>
      </c>
    </row>
    <row r="92" spans="1:44" s="67" customFormat="1" ht="14.1" customHeight="1" x14ac:dyDescent="0.2">
      <c r="A92" s="88">
        <v>18</v>
      </c>
      <c r="B92" s="56">
        <v>2497</v>
      </c>
      <c r="C92" s="64">
        <v>600080064</v>
      </c>
      <c r="D92" s="56">
        <v>72744189</v>
      </c>
      <c r="E92" s="56" t="s">
        <v>717</v>
      </c>
      <c r="F92" s="65">
        <v>3113</v>
      </c>
      <c r="G92" s="39" t="s">
        <v>279</v>
      </c>
      <c r="H92" s="66" t="s">
        <v>262</v>
      </c>
      <c r="I92" s="586">
        <f t="shared" si="112"/>
        <v>2685472</v>
      </c>
      <c r="J92" s="14">
        <v>1992190</v>
      </c>
      <c r="K92" s="14">
        <v>673360</v>
      </c>
      <c r="L92" s="14">
        <v>19922</v>
      </c>
      <c r="M92" s="14">
        <v>0</v>
      </c>
      <c r="N92" s="651">
        <v>4.3693999999999997</v>
      </c>
      <c r="O92" s="440">
        <f t="shared" si="85"/>
        <v>0</v>
      </c>
      <c r="P92" s="325">
        <v>0</v>
      </c>
      <c r="Q92" s="325">
        <v>0</v>
      </c>
      <c r="R92" s="325">
        <v>0</v>
      </c>
      <c r="S92" s="325">
        <v>0</v>
      </c>
      <c r="T92" s="325">
        <v>0</v>
      </c>
      <c r="U92" s="492">
        <f t="shared" si="134"/>
        <v>0</v>
      </c>
      <c r="V92" s="325">
        <v>0</v>
      </c>
      <c r="W92" s="325">
        <v>0</v>
      </c>
      <c r="X92" s="325">
        <v>0</v>
      </c>
      <c r="Y92" s="492">
        <f t="shared" si="135"/>
        <v>0</v>
      </c>
      <c r="Z92" s="492">
        <f t="shared" si="136"/>
        <v>0</v>
      </c>
      <c r="AA92" s="494">
        <f t="shared" si="137"/>
        <v>0</v>
      </c>
      <c r="AB92" s="55">
        <f t="shared" si="138"/>
        <v>0</v>
      </c>
      <c r="AC92" s="14">
        <v>0</v>
      </c>
      <c r="AD92" s="622">
        <f t="shared" si="116"/>
        <v>0</v>
      </c>
      <c r="AE92" s="715">
        <v>0</v>
      </c>
      <c r="AF92" s="326">
        <v>0</v>
      </c>
      <c r="AG92" s="326">
        <v>0</v>
      </c>
      <c r="AH92" s="326">
        <v>0</v>
      </c>
      <c r="AI92" s="326">
        <v>0</v>
      </c>
      <c r="AJ92" s="326">
        <v>0</v>
      </c>
      <c r="AK92" s="626">
        <f t="shared" si="139"/>
        <v>0</v>
      </c>
      <c r="AL92" s="696">
        <f t="shared" si="140"/>
        <v>2685472</v>
      </c>
      <c r="AM92" s="492">
        <f t="shared" si="141"/>
        <v>1992190</v>
      </c>
      <c r="AN92" s="492">
        <f t="shared" si="142"/>
        <v>0</v>
      </c>
      <c r="AO92" s="492">
        <f t="shared" si="143"/>
        <v>673360</v>
      </c>
      <c r="AP92" s="492">
        <f t="shared" si="143"/>
        <v>19922</v>
      </c>
      <c r="AQ92" s="578">
        <f t="shared" si="117"/>
        <v>0</v>
      </c>
      <c r="AR92" s="626">
        <f t="shared" si="144"/>
        <v>4.3693999999999997</v>
      </c>
    </row>
    <row r="93" spans="1:44" s="67" customFormat="1" ht="14.1" customHeight="1" x14ac:dyDescent="0.2">
      <c r="A93" s="88">
        <v>18</v>
      </c>
      <c r="B93" s="56">
        <v>2497</v>
      </c>
      <c r="C93" s="64">
        <v>600080064</v>
      </c>
      <c r="D93" s="56">
        <v>72744189</v>
      </c>
      <c r="E93" s="56" t="s">
        <v>717</v>
      </c>
      <c r="F93" s="65">
        <v>3113</v>
      </c>
      <c r="G93" s="56" t="s">
        <v>799</v>
      </c>
      <c r="H93" s="66" t="s">
        <v>262</v>
      </c>
      <c r="I93" s="586">
        <f t="shared" si="112"/>
        <v>410377</v>
      </c>
      <c r="J93" s="14">
        <v>304434</v>
      </c>
      <c r="K93" s="14">
        <v>102899</v>
      </c>
      <c r="L93" s="14">
        <v>3044</v>
      </c>
      <c r="M93" s="14">
        <v>0</v>
      </c>
      <c r="N93" s="651">
        <v>0.5</v>
      </c>
      <c r="O93" s="440">
        <f t="shared" ref="O93" si="145">V93*-1</f>
        <v>0</v>
      </c>
      <c r="P93" s="325">
        <v>0</v>
      </c>
      <c r="Q93" s="325">
        <v>0</v>
      </c>
      <c r="R93" s="325">
        <v>0</v>
      </c>
      <c r="S93" s="325">
        <v>0</v>
      </c>
      <c r="T93" s="325">
        <v>0</v>
      </c>
      <c r="U93" s="492">
        <f t="shared" ref="U93" si="146">O93+P93+Q93+R93+S93+T93</f>
        <v>0</v>
      </c>
      <c r="V93" s="325">
        <v>0</v>
      </c>
      <c r="W93" s="325">
        <v>0</v>
      </c>
      <c r="X93" s="325">
        <v>0</v>
      </c>
      <c r="Y93" s="492">
        <f t="shared" ref="Y93" si="147">V93+W93+X93</f>
        <v>0</v>
      </c>
      <c r="Z93" s="492">
        <f t="shared" ref="Z93" si="148">U93+Y93</f>
        <v>0</v>
      </c>
      <c r="AA93" s="494">
        <f t="shared" ref="AA93" si="149">ROUND((U93+Y93)*33.8%,0)</f>
        <v>0</v>
      </c>
      <c r="AB93" s="55">
        <f t="shared" ref="AB93" si="150">ROUND(U93*1%,0)</f>
        <v>0</v>
      </c>
      <c r="AC93" s="14">
        <v>0</v>
      </c>
      <c r="AD93" s="622">
        <f t="shared" si="116"/>
        <v>0</v>
      </c>
      <c r="AE93" s="715">
        <v>0</v>
      </c>
      <c r="AF93" s="326">
        <v>0</v>
      </c>
      <c r="AG93" s="326">
        <v>0</v>
      </c>
      <c r="AH93" s="326">
        <v>0</v>
      </c>
      <c r="AI93" s="326">
        <v>0</v>
      </c>
      <c r="AJ93" s="326">
        <v>0</v>
      </c>
      <c r="AK93" s="626">
        <f t="shared" ref="AK93" si="151">SUM(AE93:AJ93)</f>
        <v>0</v>
      </c>
      <c r="AL93" s="696">
        <f t="shared" si="140"/>
        <v>410377</v>
      </c>
      <c r="AM93" s="492">
        <f t="shared" si="141"/>
        <v>304434</v>
      </c>
      <c r="AN93" s="492">
        <f t="shared" si="142"/>
        <v>0</v>
      </c>
      <c r="AO93" s="492">
        <f t="shared" si="143"/>
        <v>102899</v>
      </c>
      <c r="AP93" s="492">
        <f t="shared" si="143"/>
        <v>3044</v>
      </c>
      <c r="AQ93" s="578">
        <f t="shared" si="117"/>
        <v>0</v>
      </c>
      <c r="AR93" s="626">
        <f t="shared" si="144"/>
        <v>0.5</v>
      </c>
    </row>
    <row r="94" spans="1:44" s="67" customFormat="1" ht="14.1" customHeight="1" x14ac:dyDescent="0.2">
      <c r="A94" s="88">
        <v>18</v>
      </c>
      <c r="B94" s="73">
        <v>2497</v>
      </c>
      <c r="C94" s="64">
        <v>600080064</v>
      </c>
      <c r="D94" s="56">
        <v>72744189</v>
      </c>
      <c r="E94" s="73" t="s">
        <v>717</v>
      </c>
      <c r="F94" s="65">
        <v>3113</v>
      </c>
      <c r="G94" s="56" t="s">
        <v>278</v>
      </c>
      <c r="H94" s="66" t="s">
        <v>263</v>
      </c>
      <c r="I94" s="586">
        <f t="shared" si="112"/>
        <v>0</v>
      </c>
      <c r="J94" s="423">
        <v>0</v>
      </c>
      <c r="K94" s="14">
        <v>0</v>
      </c>
      <c r="L94" s="14">
        <v>0</v>
      </c>
      <c r="M94" s="14">
        <v>0</v>
      </c>
      <c r="N94" s="725">
        <v>0</v>
      </c>
      <c r="O94" s="440">
        <f t="shared" si="85"/>
        <v>-18000</v>
      </c>
      <c r="P94" s="423">
        <f>4317314+179168</f>
        <v>4496482</v>
      </c>
      <c r="Q94" s="325">
        <v>0</v>
      </c>
      <c r="R94" s="325">
        <v>0</v>
      </c>
      <c r="S94" s="325">
        <v>0</v>
      </c>
      <c r="T94" s="325">
        <v>0</v>
      </c>
      <c r="U94" s="492">
        <f t="shared" si="134"/>
        <v>4478482</v>
      </c>
      <c r="V94" s="325">
        <v>18000</v>
      </c>
      <c r="W94" s="325">
        <v>0</v>
      </c>
      <c r="X94" s="325">
        <v>0</v>
      </c>
      <c r="Y94" s="492">
        <f t="shared" si="135"/>
        <v>18000</v>
      </c>
      <c r="Z94" s="492">
        <f t="shared" si="136"/>
        <v>4496482</v>
      </c>
      <c r="AA94" s="494">
        <f t="shared" si="137"/>
        <v>1519811</v>
      </c>
      <c r="AB94" s="55">
        <f t="shared" si="138"/>
        <v>44785</v>
      </c>
      <c r="AC94" s="14">
        <v>0</v>
      </c>
      <c r="AD94" s="622">
        <f t="shared" si="116"/>
        <v>6061078</v>
      </c>
      <c r="AE94" s="715">
        <v>0</v>
      </c>
      <c r="AF94" s="729">
        <f>10.64+0.64</f>
        <v>11.280000000000001</v>
      </c>
      <c r="AG94" s="326">
        <v>0</v>
      </c>
      <c r="AH94" s="326">
        <v>0</v>
      </c>
      <c r="AI94" s="326">
        <v>0</v>
      </c>
      <c r="AJ94" s="326">
        <v>0</v>
      </c>
      <c r="AK94" s="626">
        <f t="shared" si="139"/>
        <v>11.280000000000001</v>
      </c>
      <c r="AL94" s="696">
        <f t="shared" si="140"/>
        <v>6061078</v>
      </c>
      <c r="AM94" s="492">
        <f t="shared" si="141"/>
        <v>4478482</v>
      </c>
      <c r="AN94" s="492">
        <f t="shared" si="142"/>
        <v>18000</v>
      </c>
      <c r="AO94" s="492">
        <f t="shared" si="143"/>
        <v>1519811</v>
      </c>
      <c r="AP94" s="492">
        <f t="shared" si="143"/>
        <v>44785</v>
      </c>
      <c r="AQ94" s="578">
        <f t="shared" si="117"/>
        <v>0</v>
      </c>
      <c r="AR94" s="626">
        <f t="shared" si="144"/>
        <v>11.280000000000001</v>
      </c>
    </row>
    <row r="95" spans="1:44" s="67" customFormat="1" ht="14.1" customHeight="1" x14ac:dyDescent="0.2">
      <c r="A95" s="88">
        <v>18</v>
      </c>
      <c r="B95" s="56">
        <v>2497</v>
      </c>
      <c r="C95" s="64">
        <v>600080064</v>
      </c>
      <c r="D95" s="56">
        <v>72744189</v>
      </c>
      <c r="E95" s="56" t="s">
        <v>717</v>
      </c>
      <c r="F95" s="65">
        <v>3143</v>
      </c>
      <c r="G95" s="56" t="s">
        <v>794</v>
      </c>
      <c r="H95" s="66" t="s">
        <v>262</v>
      </c>
      <c r="I95" s="586">
        <f t="shared" si="112"/>
        <v>1091911</v>
      </c>
      <c r="J95" s="14">
        <v>810023</v>
      </c>
      <c r="K95" s="14">
        <v>273788</v>
      </c>
      <c r="L95" s="14">
        <v>8100</v>
      </c>
      <c r="M95" s="14">
        <v>0</v>
      </c>
      <c r="N95" s="651">
        <v>1.76</v>
      </c>
      <c r="O95" s="440">
        <f t="shared" si="85"/>
        <v>-18000</v>
      </c>
      <c r="P95" s="325">
        <v>0</v>
      </c>
      <c r="Q95" s="325">
        <v>0</v>
      </c>
      <c r="R95" s="325">
        <v>0</v>
      </c>
      <c r="S95" s="325">
        <v>0</v>
      </c>
      <c r="T95" s="325">
        <v>0</v>
      </c>
      <c r="U95" s="492">
        <f t="shared" si="134"/>
        <v>-18000</v>
      </c>
      <c r="V95" s="325">
        <v>18000</v>
      </c>
      <c r="W95" s="325">
        <v>0</v>
      </c>
      <c r="X95" s="325">
        <v>0</v>
      </c>
      <c r="Y95" s="492">
        <f t="shared" si="135"/>
        <v>18000</v>
      </c>
      <c r="Z95" s="492">
        <f t="shared" si="136"/>
        <v>0</v>
      </c>
      <c r="AA95" s="494">
        <f t="shared" si="137"/>
        <v>0</v>
      </c>
      <c r="AB95" s="55">
        <f t="shared" si="138"/>
        <v>-180</v>
      </c>
      <c r="AC95" s="14">
        <v>0</v>
      </c>
      <c r="AD95" s="622">
        <f t="shared" si="116"/>
        <v>-180</v>
      </c>
      <c r="AE95" s="715">
        <v>0</v>
      </c>
      <c r="AF95" s="326">
        <v>0</v>
      </c>
      <c r="AG95" s="326">
        <v>0</v>
      </c>
      <c r="AH95" s="326">
        <v>0</v>
      </c>
      <c r="AI95" s="326">
        <v>0</v>
      </c>
      <c r="AJ95" s="326">
        <v>0</v>
      </c>
      <c r="AK95" s="626">
        <f t="shared" si="139"/>
        <v>0</v>
      </c>
      <c r="AL95" s="696">
        <f t="shared" si="140"/>
        <v>1091731</v>
      </c>
      <c r="AM95" s="492">
        <f t="shared" si="141"/>
        <v>792023</v>
      </c>
      <c r="AN95" s="492">
        <f t="shared" si="142"/>
        <v>18000</v>
      </c>
      <c r="AO95" s="492">
        <f t="shared" si="143"/>
        <v>273788</v>
      </c>
      <c r="AP95" s="492">
        <f t="shared" si="143"/>
        <v>7920</v>
      </c>
      <c r="AQ95" s="578">
        <f t="shared" si="117"/>
        <v>0</v>
      </c>
      <c r="AR95" s="626">
        <f t="shared" si="144"/>
        <v>1.76</v>
      </c>
    </row>
    <row r="96" spans="1:44" s="67" customFormat="1" ht="14.1" customHeight="1" x14ac:dyDescent="0.2">
      <c r="A96" s="88">
        <v>18</v>
      </c>
      <c r="B96" s="56">
        <v>2497</v>
      </c>
      <c r="C96" s="64">
        <v>600080064</v>
      </c>
      <c r="D96" s="56">
        <v>72744189</v>
      </c>
      <c r="E96" s="56" t="s">
        <v>717</v>
      </c>
      <c r="F96" s="65">
        <v>3143</v>
      </c>
      <c r="G96" s="56" t="s">
        <v>282</v>
      </c>
      <c r="H96" s="66" t="s">
        <v>263</v>
      </c>
      <c r="I96" s="586">
        <f t="shared" si="112"/>
        <v>375163</v>
      </c>
      <c r="J96" s="423">
        <v>278311</v>
      </c>
      <c r="K96" s="14">
        <f>ROUND(J96*33.8%,0)</f>
        <v>94069</v>
      </c>
      <c r="L96" s="14">
        <f>ROUND(J96*1%,0)</f>
        <v>2783</v>
      </c>
      <c r="M96" s="14">
        <v>0</v>
      </c>
      <c r="N96" s="725">
        <v>0.52</v>
      </c>
      <c r="O96" s="440">
        <f t="shared" si="85"/>
        <v>-6000</v>
      </c>
      <c r="P96" s="325">
        <v>0</v>
      </c>
      <c r="Q96" s="325">
        <v>0</v>
      </c>
      <c r="R96" s="325">
        <v>0</v>
      </c>
      <c r="S96" s="325">
        <v>0</v>
      </c>
      <c r="T96" s="325">
        <v>0</v>
      </c>
      <c r="U96" s="492">
        <f t="shared" si="134"/>
        <v>-6000</v>
      </c>
      <c r="V96" s="325">
        <v>6000</v>
      </c>
      <c r="W96" s="325">
        <v>0</v>
      </c>
      <c r="X96" s="325">
        <v>0</v>
      </c>
      <c r="Y96" s="492">
        <f t="shared" si="135"/>
        <v>6000</v>
      </c>
      <c r="Z96" s="492">
        <f t="shared" si="136"/>
        <v>0</v>
      </c>
      <c r="AA96" s="494">
        <f t="shared" si="137"/>
        <v>0</v>
      </c>
      <c r="AB96" s="55">
        <f t="shared" si="138"/>
        <v>-60</v>
      </c>
      <c r="AC96" s="14">
        <v>0</v>
      </c>
      <c r="AD96" s="622">
        <f t="shared" si="116"/>
        <v>-60</v>
      </c>
      <c r="AE96" s="715">
        <v>0</v>
      </c>
      <c r="AF96" s="326">
        <v>0</v>
      </c>
      <c r="AG96" s="326">
        <v>0</v>
      </c>
      <c r="AH96" s="326">
        <v>0</v>
      </c>
      <c r="AI96" s="326">
        <v>0</v>
      </c>
      <c r="AJ96" s="326">
        <v>0</v>
      </c>
      <c r="AK96" s="626">
        <f t="shared" si="139"/>
        <v>0</v>
      </c>
      <c r="AL96" s="696">
        <f t="shared" si="140"/>
        <v>375103</v>
      </c>
      <c r="AM96" s="492">
        <f t="shared" si="141"/>
        <v>272311</v>
      </c>
      <c r="AN96" s="492">
        <f t="shared" si="142"/>
        <v>6000</v>
      </c>
      <c r="AO96" s="492">
        <f t="shared" si="143"/>
        <v>94069</v>
      </c>
      <c r="AP96" s="492">
        <f t="shared" si="143"/>
        <v>2723</v>
      </c>
      <c r="AQ96" s="578">
        <f t="shared" si="117"/>
        <v>0</v>
      </c>
      <c r="AR96" s="626">
        <f t="shared" si="144"/>
        <v>0.52</v>
      </c>
    </row>
    <row r="97" spans="1:44" s="67" customFormat="1" ht="14.1" customHeight="1" x14ac:dyDescent="0.2">
      <c r="A97" s="89">
        <v>18</v>
      </c>
      <c r="B97" s="68">
        <v>2497</v>
      </c>
      <c r="C97" s="69">
        <v>600080064</v>
      </c>
      <c r="D97" s="68">
        <v>72744189</v>
      </c>
      <c r="E97" s="68" t="s">
        <v>718</v>
      </c>
      <c r="F97" s="70"/>
      <c r="G97" s="71"/>
      <c r="H97" s="72"/>
      <c r="I97" s="587">
        <f t="shared" ref="I97:N97" si="152">SUM(I90:I96)</f>
        <v>30847047</v>
      </c>
      <c r="J97" s="334">
        <f t="shared" si="152"/>
        <v>22883566</v>
      </c>
      <c r="K97" s="334">
        <f t="shared" si="152"/>
        <v>7734645</v>
      </c>
      <c r="L97" s="334">
        <f t="shared" si="152"/>
        <v>228836</v>
      </c>
      <c r="M97" s="334">
        <f t="shared" si="152"/>
        <v>0</v>
      </c>
      <c r="N97" s="74">
        <f t="shared" si="152"/>
        <v>35.7956</v>
      </c>
      <c r="O97" s="719">
        <f t="shared" ref="O97:Y97" si="153">SUM(O90:O96)</f>
        <v>-168000</v>
      </c>
      <c r="P97" s="334">
        <f t="shared" si="153"/>
        <v>4496482</v>
      </c>
      <c r="Q97" s="334">
        <f t="shared" si="153"/>
        <v>0</v>
      </c>
      <c r="R97" s="334">
        <f t="shared" si="153"/>
        <v>0</v>
      </c>
      <c r="S97" s="334">
        <f t="shared" si="153"/>
        <v>0</v>
      </c>
      <c r="T97" s="334">
        <f t="shared" si="153"/>
        <v>0</v>
      </c>
      <c r="U97" s="334">
        <f t="shared" si="153"/>
        <v>4328482</v>
      </c>
      <c r="V97" s="334">
        <f t="shared" si="153"/>
        <v>168000</v>
      </c>
      <c r="W97" s="334">
        <f t="shared" si="153"/>
        <v>0</v>
      </c>
      <c r="X97" s="334">
        <f t="shared" si="153"/>
        <v>0</v>
      </c>
      <c r="Y97" s="334">
        <f t="shared" si="153"/>
        <v>168000</v>
      </c>
      <c r="Z97" s="334">
        <f t="shared" ref="Z97:AR97" si="154">SUM(Z90:Z96)</f>
        <v>4496482</v>
      </c>
      <c r="AA97" s="334">
        <f t="shared" si="154"/>
        <v>1519811</v>
      </c>
      <c r="AB97" s="334">
        <f t="shared" si="154"/>
        <v>43285</v>
      </c>
      <c r="AC97" s="334">
        <f t="shared" si="154"/>
        <v>0</v>
      </c>
      <c r="AD97" s="712">
        <f t="shared" si="154"/>
        <v>6059578</v>
      </c>
      <c r="AE97" s="716">
        <f t="shared" si="154"/>
        <v>-0.08</v>
      </c>
      <c r="AF97" s="335">
        <f t="shared" si="154"/>
        <v>11.280000000000001</v>
      </c>
      <c r="AG97" s="335">
        <f t="shared" si="154"/>
        <v>0</v>
      </c>
      <c r="AH97" s="335">
        <f t="shared" si="154"/>
        <v>0</v>
      </c>
      <c r="AI97" s="335">
        <f t="shared" si="154"/>
        <v>0</v>
      </c>
      <c r="AJ97" s="335">
        <f t="shared" si="154"/>
        <v>0</v>
      </c>
      <c r="AK97" s="74">
        <f t="shared" si="154"/>
        <v>11.200000000000001</v>
      </c>
      <c r="AL97" s="589">
        <f t="shared" si="154"/>
        <v>36906625</v>
      </c>
      <c r="AM97" s="557">
        <f t="shared" si="154"/>
        <v>27212048</v>
      </c>
      <c r="AN97" s="557">
        <f t="shared" si="154"/>
        <v>168000</v>
      </c>
      <c r="AO97" s="557">
        <f t="shared" si="154"/>
        <v>9254456</v>
      </c>
      <c r="AP97" s="557">
        <f t="shared" si="154"/>
        <v>272121</v>
      </c>
      <c r="AQ97" s="557">
        <f t="shared" si="154"/>
        <v>0</v>
      </c>
      <c r="AR97" s="590">
        <f t="shared" si="154"/>
        <v>46.995600000000003</v>
      </c>
    </row>
    <row r="98" spans="1:44" s="67" customFormat="1" ht="14.1" customHeight="1" x14ac:dyDescent="0.2">
      <c r="A98" s="88">
        <v>19</v>
      </c>
      <c r="B98" s="73">
        <v>2446</v>
      </c>
      <c r="C98" s="64">
        <v>600080129</v>
      </c>
      <c r="D98" s="56">
        <v>72743522</v>
      </c>
      <c r="E98" s="56" t="s">
        <v>719</v>
      </c>
      <c r="F98" s="65">
        <v>3111</v>
      </c>
      <c r="G98" s="56" t="s">
        <v>277</v>
      </c>
      <c r="H98" s="66" t="s">
        <v>262</v>
      </c>
      <c r="I98" s="586">
        <f t="shared" si="112"/>
        <v>3271936</v>
      </c>
      <c r="J98" s="14">
        <v>2427252</v>
      </c>
      <c r="K98" s="14">
        <v>820411</v>
      </c>
      <c r="L98" s="14">
        <v>24273</v>
      </c>
      <c r="M98" s="14">
        <v>0</v>
      </c>
      <c r="N98" s="651">
        <v>4</v>
      </c>
      <c r="O98" s="440">
        <f t="shared" si="85"/>
        <v>-6000</v>
      </c>
      <c r="P98" s="325">
        <v>0</v>
      </c>
      <c r="Q98" s="325">
        <v>0</v>
      </c>
      <c r="R98" s="325">
        <v>0</v>
      </c>
      <c r="S98" s="325">
        <v>0</v>
      </c>
      <c r="T98" s="325">
        <v>0</v>
      </c>
      <c r="U98" s="492">
        <f>O98+P98+Q98+R98+S98+T98</f>
        <v>-6000</v>
      </c>
      <c r="V98" s="325">
        <v>6000</v>
      </c>
      <c r="W98" s="325">
        <v>0</v>
      </c>
      <c r="X98" s="325">
        <v>0</v>
      </c>
      <c r="Y98" s="492">
        <f t="shared" ref="Y98:Y101" si="155">V98+W98+X98</f>
        <v>6000</v>
      </c>
      <c r="Z98" s="492">
        <f t="shared" ref="Z98:Z101" si="156">U98+Y98</f>
        <v>0</v>
      </c>
      <c r="AA98" s="494">
        <f t="shared" ref="AA98:AA101" si="157">ROUND((U98+Y98)*33.8%,0)</f>
        <v>0</v>
      </c>
      <c r="AB98" s="55">
        <f>ROUND(U98*1%,0)</f>
        <v>-60</v>
      </c>
      <c r="AC98" s="14">
        <v>0</v>
      </c>
      <c r="AD98" s="622">
        <f t="shared" si="116"/>
        <v>-60</v>
      </c>
      <c r="AE98" s="715">
        <v>-0.01</v>
      </c>
      <c r="AF98" s="326">
        <v>0</v>
      </c>
      <c r="AG98" s="326">
        <v>0</v>
      </c>
      <c r="AH98" s="326">
        <v>0</v>
      </c>
      <c r="AI98" s="326">
        <v>0</v>
      </c>
      <c r="AJ98" s="326">
        <v>0</v>
      </c>
      <c r="AK98" s="626">
        <f>SUM(AE98:AJ98)</f>
        <v>-0.01</v>
      </c>
      <c r="AL98" s="696">
        <f>I98+AD98</f>
        <v>3271876</v>
      </c>
      <c r="AM98" s="492">
        <f>J98+U98</f>
        <v>2421252</v>
      </c>
      <c r="AN98" s="492">
        <f>Y98</f>
        <v>6000</v>
      </c>
      <c r="AO98" s="492">
        <f t="shared" ref="AO98:AP101" si="158">K98+AA98</f>
        <v>820411</v>
      </c>
      <c r="AP98" s="492">
        <f t="shared" si="158"/>
        <v>24213</v>
      </c>
      <c r="AQ98" s="578">
        <f t="shared" si="117"/>
        <v>0</v>
      </c>
      <c r="AR98" s="626">
        <f>N98+AK98</f>
        <v>3.99</v>
      </c>
    </row>
    <row r="99" spans="1:44" s="67" customFormat="1" ht="14.1" customHeight="1" x14ac:dyDescent="0.2">
      <c r="A99" s="88">
        <v>19</v>
      </c>
      <c r="B99" s="75">
        <v>2446</v>
      </c>
      <c r="C99" s="64">
        <v>600080129</v>
      </c>
      <c r="D99" s="56">
        <v>72743522</v>
      </c>
      <c r="E99" s="75" t="s">
        <v>719</v>
      </c>
      <c r="F99" s="76">
        <v>3117</v>
      </c>
      <c r="G99" s="75" t="s">
        <v>294</v>
      </c>
      <c r="H99" s="66" t="s">
        <v>262</v>
      </c>
      <c r="I99" s="586">
        <f t="shared" si="112"/>
        <v>5058216</v>
      </c>
      <c r="J99" s="14">
        <v>3752386</v>
      </c>
      <c r="K99" s="14">
        <v>1268307</v>
      </c>
      <c r="L99" s="14">
        <v>37523</v>
      </c>
      <c r="M99" s="14">
        <v>0</v>
      </c>
      <c r="N99" s="651">
        <v>5.6360000000000001</v>
      </c>
      <c r="O99" s="440">
        <f t="shared" si="85"/>
        <v>-6000</v>
      </c>
      <c r="P99" s="325">
        <v>0</v>
      </c>
      <c r="Q99" s="325">
        <v>0</v>
      </c>
      <c r="R99" s="325">
        <v>0</v>
      </c>
      <c r="S99" s="325">
        <v>0</v>
      </c>
      <c r="T99" s="325">
        <v>0</v>
      </c>
      <c r="U99" s="492">
        <f>O99+P99+Q99+R99+S99+T99</f>
        <v>-6000</v>
      </c>
      <c r="V99" s="325">
        <v>6000</v>
      </c>
      <c r="W99" s="325">
        <v>0</v>
      </c>
      <c r="X99" s="325">
        <v>0</v>
      </c>
      <c r="Y99" s="492">
        <f t="shared" si="155"/>
        <v>6000</v>
      </c>
      <c r="Z99" s="492">
        <f t="shared" si="156"/>
        <v>0</v>
      </c>
      <c r="AA99" s="494">
        <f t="shared" si="157"/>
        <v>0</v>
      </c>
      <c r="AB99" s="55">
        <f>ROUND(U99*1%,0)</f>
        <v>-60</v>
      </c>
      <c r="AC99" s="14">
        <v>0</v>
      </c>
      <c r="AD99" s="622">
        <f t="shared" si="116"/>
        <v>-60</v>
      </c>
      <c r="AE99" s="715">
        <v>-0.01</v>
      </c>
      <c r="AF99" s="326">
        <v>0</v>
      </c>
      <c r="AG99" s="326">
        <v>0</v>
      </c>
      <c r="AH99" s="326">
        <v>0</v>
      </c>
      <c r="AI99" s="326">
        <v>0</v>
      </c>
      <c r="AJ99" s="326">
        <v>0</v>
      </c>
      <c r="AK99" s="626">
        <f>SUM(AE99:AJ99)</f>
        <v>-0.01</v>
      </c>
      <c r="AL99" s="696">
        <f>I99+AD99</f>
        <v>5058156</v>
      </c>
      <c r="AM99" s="492">
        <f>J99+U99</f>
        <v>3746386</v>
      </c>
      <c r="AN99" s="492">
        <f>Y99</f>
        <v>6000</v>
      </c>
      <c r="AO99" s="492">
        <f t="shared" si="158"/>
        <v>1268307</v>
      </c>
      <c r="AP99" s="492">
        <f t="shared" si="158"/>
        <v>37463</v>
      </c>
      <c r="AQ99" s="578">
        <f t="shared" si="117"/>
        <v>0</v>
      </c>
      <c r="AR99" s="626">
        <f>N99+AK99</f>
        <v>5.6260000000000003</v>
      </c>
    </row>
    <row r="100" spans="1:44" s="67" customFormat="1" ht="14.1" customHeight="1" x14ac:dyDescent="0.2">
      <c r="A100" s="88">
        <v>19</v>
      </c>
      <c r="B100" s="73">
        <v>2446</v>
      </c>
      <c r="C100" s="64">
        <v>600080129</v>
      </c>
      <c r="D100" s="56">
        <v>72743522</v>
      </c>
      <c r="E100" s="73" t="s">
        <v>719</v>
      </c>
      <c r="F100" s="65">
        <v>3117</v>
      </c>
      <c r="G100" s="56" t="s">
        <v>278</v>
      </c>
      <c r="H100" s="66" t="s">
        <v>263</v>
      </c>
      <c r="I100" s="586">
        <f t="shared" si="112"/>
        <v>0</v>
      </c>
      <c r="J100" s="423">
        <v>0</v>
      </c>
      <c r="K100" s="14">
        <v>0</v>
      </c>
      <c r="L100" s="14">
        <v>0</v>
      </c>
      <c r="M100" s="14">
        <v>0</v>
      </c>
      <c r="N100" s="725">
        <v>0</v>
      </c>
      <c r="O100" s="440">
        <f t="shared" si="85"/>
        <v>0</v>
      </c>
      <c r="P100" s="423">
        <v>1728731</v>
      </c>
      <c r="Q100" s="325">
        <v>0</v>
      </c>
      <c r="R100" s="325">
        <v>0</v>
      </c>
      <c r="S100" s="325">
        <v>0</v>
      </c>
      <c r="T100" s="325">
        <v>0</v>
      </c>
      <c r="U100" s="492">
        <f>O100+P100+Q100+R100+S100+T100</f>
        <v>1728731</v>
      </c>
      <c r="V100" s="325">
        <v>0</v>
      </c>
      <c r="W100" s="325">
        <v>0</v>
      </c>
      <c r="X100" s="325">
        <v>0</v>
      </c>
      <c r="Y100" s="492">
        <f t="shared" si="155"/>
        <v>0</v>
      </c>
      <c r="Z100" s="492">
        <f t="shared" si="156"/>
        <v>1728731</v>
      </c>
      <c r="AA100" s="494">
        <f t="shared" si="157"/>
        <v>584311</v>
      </c>
      <c r="AB100" s="55">
        <f>ROUND(U100*1%,0)</f>
        <v>17287</v>
      </c>
      <c r="AC100" s="14">
        <v>0</v>
      </c>
      <c r="AD100" s="622">
        <f t="shared" si="116"/>
        <v>2330329</v>
      </c>
      <c r="AE100" s="715">
        <v>0</v>
      </c>
      <c r="AF100" s="729">
        <v>4.24</v>
      </c>
      <c r="AG100" s="326">
        <v>0</v>
      </c>
      <c r="AH100" s="326">
        <v>0</v>
      </c>
      <c r="AI100" s="326">
        <v>0</v>
      </c>
      <c r="AJ100" s="326">
        <v>0</v>
      </c>
      <c r="AK100" s="626">
        <f>SUM(AE100:AJ100)</f>
        <v>4.24</v>
      </c>
      <c r="AL100" s="696">
        <f>I100+AD100</f>
        <v>2330329</v>
      </c>
      <c r="AM100" s="492">
        <f>J100+U100</f>
        <v>1728731</v>
      </c>
      <c r="AN100" s="492">
        <f>Y100</f>
        <v>0</v>
      </c>
      <c r="AO100" s="492">
        <f t="shared" si="158"/>
        <v>584311</v>
      </c>
      <c r="AP100" s="492">
        <f t="shared" si="158"/>
        <v>17287</v>
      </c>
      <c r="AQ100" s="578">
        <f t="shared" si="117"/>
        <v>0</v>
      </c>
      <c r="AR100" s="626">
        <f>N100+AK100</f>
        <v>4.24</v>
      </c>
    </row>
    <row r="101" spans="1:44" s="67" customFormat="1" ht="14.1" customHeight="1" x14ac:dyDescent="0.2">
      <c r="A101" s="88">
        <v>19</v>
      </c>
      <c r="B101" s="56">
        <v>2446</v>
      </c>
      <c r="C101" s="64">
        <v>600080129</v>
      </c>
      <c r="D101" s="56">
        <v>72743522</v>
      </c>
      <c r="E101" s="56" t="s">
        <v>719</v>
      </c>
      <c r="F101" s="65">
        <v>3143</v>
      </c>
      <c r="G101" s="56" t="s">
        <v>794</v>
      </c>
      <c r="H101" s="66" t="s">
        <v>262</v>
      </c>
      <c r="I101" s="586">
        <f t="shared" si="112"/>
        <v>968123</v>
      </c>
      <c r="J101" s="14">
        <v>718192</v>
      </c>
      <c r="K101" s="14">
        <v>242749</v>
      </c>
      <c r="L101" s="14">
        <v>7182</v>
      </c>
      <c r="M101" s="14">
        <v>0</v>
      </c>
      <c r="N101" s="651">
        <v>1.3959999999999999</v>
      </c>
      <c r="O101" s="440">
        <f t="shared" si="85"/>
        <v>0</v>
      </c>
      <c r="P101" s="325">
        <v>0</v>
      </c>
      <c r="Q101" s="325">
        <v>0</v>
      </c>
      <c r="R101" s="325">
        <v>0</v>
      </c>
      <c r="S101" s="325">
        <v>0</v>
      </c>
      <c r="T101" s="325">
        <v>0</v>
      </c>
      <c r="U101" s="492">
        <f>O101+P101+Q101+R101+S101+T101</f>
        <v>0</v>
      </c>
      <c r="V101" s="325">
        <v>0</v>
      </c>
      <c r="W101" s="325">
        <v>0</v>
      </c>
      <c r="X101" s="325">
        <v>0</v>
      </c>
      <c r="Y101" s="492">
        <f t="shared" si="155"/>
        <v>0</v>
      </c>
      <c r="Z101" s="492">
        <f t="shared" si="156"/>
        <v>0</v>
      </c>
      <c r="AA101" s="494">
        <f t="shared" si="157"/>
        <v>0</v>
      </c>
      <c r="AB101" s="55">
        <f>ROUND(U101*1%,0)</f>
        <v>0</v>
      </c>
      <c r="AC101" s="14">
        <v>0</v>
      </c>
      <c r="AD101" s="622">
        <f t="shared" si="116"/>
        <v>0</v>
      </c>
      <c r="AE101" s="715">
        <v>0</v>
      </c>
      <c r="AF101" s="326">
        <v>0</v>
      </c>
      <c r="AG101" s="326">
        <v>0</v>
      </c>
      <c r="AH101" s="326">
        <v>0</v>
      </c>
      <c r="AI101" s="326">
        <v>0</v>
      </c>
      <c r="AJ101" s="326">
        <v>0</v>
      </c>
      <c r="AK101" s="626">
        <f>SUM(AE101:AJ101)</f>
        <v>0</v>
      </c>
      <c r="AL101" s="696">
        <f>I101+AD101</f>
        <v>968123</v>
      </c>
      <c r="AM101" s="492">
        <f>J101+U101</f>
        <v>718192</v>
      </c>
      <c r="AN101" s="492">
        <f>Y101</f>
        <v>0</v>
      </c>
      <c r="AO101" s="492">
        <f t="shared" si="158"/>
        <v>242749</v>
      </c>
      <c r="AP101" s="492">
        <f t="shared" si="158"/>
        <v>7182</v>
      </c>
      <c r="AQ101" s="578">
        <f t="shared" si="117"/>
        <v>0</v>
      </c>
      <c r="AR101" s="626">
        <f>N101+AK101</f>
        <v>1.3959999999999999</v>
      </c>
    </row>
    <row r="102" spans="1:44" s="67" customFormat="1" ht="14.1" customHeight="1" thickBot="1" x14ac:dyDescent="0.25">
      <c r="A102" s="89">
        <v>19</v>
      </c>
      <c r="B102" s="79">
        <v>2446</v>
      </c>
      <c r="C102" s="80">
        <v>600080129</v>
      </c>
      <c r="D102" s="79">
        <v>72743522</v>
      </c>
      <c r="E102" s="79" t="s">
        <v>720</v>
      </c>
      <c r="F102" s="81"/>
      <c r="G102" s="82"/>
      <c r="H102" s="83"/>
      <c r="I102" s="640">
        <f t="shared" ref="I102:N102" si="159">SUM(I98:I101)</f>
        <v>9298275</v>
      </c>
      <c r="J102" s="375">
        <f t="shared" si="159"/>
        <v>6897830</v>
      </c>
      <c r="K102" s="375">
        <f t="shared" si="159"/>
        <v>2331467</v>
      </c>
      <c r="L102" s="375">
        <f t="shared" si="159"/>
        <v>68978</v>
      </c>
      <c r="M102" s="375">
        <f t="shared" si="159"/>
        <v>0</v>
      </c>
      <c r="N102" s="698">
        <f t="shared" si="159"/>
        <v>11.032</v>
      </c>
      <c r="O102" s="721">
        <f t="shared" ref="O102:Y102" si="160">SUM(O98:O101)</f>
        <v>-12000</v>
      </c>
      <c r="P102" s="375">
        <f t="shared" si="160"/>
        <v>1728731</v>
      </c>
      <c r="Q102" s="375">
        <f t="shared" si="160"/>
        <v>0</v>
      </c>
      <c r="R102" s="375">
        <f t="shared" si="160"/>
        <v>0</v>
      </c>
      <c r="S102" s="375">
        <f t="shared" si="160"/>
        <v>0</v>
      </c>
      <c r="T102" s="375">
        <f t="shared" si="160"/>
        <v>0</v>
      </c>
      <c r="U102" s="375">
        <f t="shared" si="160"/>
        <v>1716731</v>
      </c>
      <c r="V102" s="375">
        <f t="shared" si="160"/>
        <v>12000</v>
      </c>
      <c r="W102" s="375">
        <f t="shared" si="160"/>
        <v>0</v>
      </c>
      <c r="X102" s="375">
        <f t="shared" si="160"/>
        <v>0</v>
      </c>
      <c r="Y102" s="375">
        <f t="shared" si="160"/>
        <v>12000</v>
      </c>
      <c r="Z102" s="375">
        <f t="shared" ref="Z102:AR102" si="161">SUM(Z98:Z101)</f>
        <v>1728731</v>
      </c>
      <c r="AA102" s="375">
        <f t="shared" si="161"/>
        <v>584311</v>
      </c>
      <c r="AB102" s="375">
        <f t="shared" si="161"/>
        <v>17167</v>
      </c>
      <c r="AC102" s="375">
        <f t="shared" si="161"/>
        <v>0</v>
      </c>
      <c r="AD102" s="714">
        <f t="shared" si="161"/>
        <v>2330209</v>
      </c>
      <c r="AE102" s="726">
        <f t="shared" si="161"/>
        <v>-0.02</v>
      </c>
      <c r="AF102" s="727">
        <f t="shared" si="161"/>
        <v>4.24</v>
      </c>
      <c r="AG102" s="727">
        <f t="shared" si="161"/>
        <v>0</v>
      </c>
      <c r="AH102" s="727">
        <f t="shared" si="161"/>
        <v>0</v>
      </c>
      <c r="AI102" s="727">
        <f t="shared" si="161"/>
        <v>0</v>
      </c>
      <c r="AJ102" s="727">
        <f t="shared" si="161"/>
        <v>0</v>
      </c>
      <c r="AK102" s="698">
        <f t="shared" si="161"/>
        <v>4.2200000000000006</v>
      </c>
      <c r="AL102" s="640">
        <f t="shared" si="161"/>
        <v>11628484</v>
      </c>
      <c r="AM102" s="375">
        <f t="shared" si="161"/>
        <v>8614561</v>
      </c>
      <c r="AN102" s="375">
        <f t="shared" si="161"/>
        <v>12000</v>
      </c>
      <c r="AO102" s="375">
        <f t="shared" si="161"/>
        <v>2915778</v>
      </c>
      <c r="AP102" s="375">
        <f t="shared" si="161"/>
        <v>86145</v>
      </c>
      <c r="AQ102" s="375">
        <f t="shared" si="161"/>
        <v>0</v>
      </c>
      <c r="AR102" s="698">
        <f t="shared" si="161"/>
        <v>15.251999999999999</v>
      </c>
    </row>
    <row r="103" spans="1:44" s="67" customFormat="1" ht="14.1" customHeight="1" thickBot="1" x14ac:dyDescent="0.25">
      <c r="A103" s="169"/>
      <c r="B103" s="170"/>
      <c r="C103" s="170"/>
      <c r="D103" s="170"/>
      <c r="E103" s="170" t="s">
        <v>721</v>
      </c>
      <c r="F103" s="170"/>
      <c r="G103" s="170"/>
      <c r="H103" s="171"/>
      <c r="I103" s="637">
        <f t="shared" ref="I103:AR103" si="162">I102+I97+I89+I87+I81+I79+I76+I71+I68+I65+I60+I55+I49+I44+I39+I34+I29+I24+I16</f>
        <v>283533388</v>
      </c>
      <c r="J103" s="435">
        <f t="shared" si="162"/>
        <v>210336341</v>
      </c>
      <c r="K103" s="435">
        <f t="shared" si="162"/>
        <v>71093683</v>
      </c>
      <c r="L103" s="435">
        <f t="shared" si="162"/>
        <v>2103364</v>
      </c>
      <c r="M103" s="435">
        <f t="shared" si="162"/>
        <v>0</v>
      </c>
      <c r="N103" s="722">
        <f t="shared" si="162"/>
        <v>320.0856</v>
      </c>
      <c r="O103" s="637">
        <f t="shared" si="162"/>
        <v>-531600</v>
      </c>
      <c r="P103" s="435">
        <f t="shared" si="162"/>
        <v>29303623</v>
      </c>
      <c r="Q103" s="435">
        <f t="shared" si="162"/>
        <v>0</v>
      </c>
      <c r="R103" s="435">
        <f t="shared" si="162"/>
        <v>0</v>
      </c>
      <c r="S103" s="435">
        <f t="shared" si="162"/>
        <v>0</v>
      </c>
      <c r="T103" s="435">
        <f t="shared" si="162"/>
        <v>9763</v>
      </c>
      <c r="U103" s="592">
        <f t="shared" si="162"/>
        <v>28781786</v>
      </c>
      <c r="V103" s="401">
        <f t="shared" si="162"/>
        <v>531600</v>
      </c>
      <c r="W103" s="435">
        <f t="shared" si="162"/>
        <v>85425</v>
      </c>
      <c r="X103" s="435">
        <f t="shared" si="162"/>
        <v>0</v>
      </c>
      <c r="Y103" s="435">
        <f t="shared" si="162"/>
        <v>617025</v>
      </c>
      <c r="Z103" s="435">
        <f t="shared" si="162"/>
        <v>29398811</v>
      </c>
      <c r="AA103" s="435">
        <f t="shared" si="162"/>
        <v>9936797</v>
      </c>
      <c r="AB103" s="435">
        <f t="shared" si="162"/>
        <v>287817</v>
      </c>
      <c r="AC103" s="435">
        <f t="shared" si="162"/>
        <v>0</v>
      </c>
      <c r="AD103" s="595">
        <f t="shared" si="162"/>
        <v>39623425</v>
      </c>
      <c r="AE103" s="596">
        <f t="shared" si="162"/>
        <v>-0.19</v>
      </c>
      <c r="AF103" s="597">
        <f t="shared" si="162"/>
        <v>72.930000000000007</v>
      </c>
      <c r="AG103" s="597">
        <f t="shared" si="162"/>
        <v>0</v>
      </c>
      <c r="AH103" s="597">
        <f t="shared" si="162"/>
        <v>0</v>
      </c>
      <c r="AI103" s="597">
        <f t="shared" si="162"/>
        <v>0</v>
      </c>
      <c r="AJ103" s="597">
        <f t="shared" si="162"/>
        <v>0</v>
      </c>
      <c r="AK103" s="593">
        <f t="shared" si="162"/>
        <v>72.740000000000009</v>
      </c>
      <c r="AL103" s="591">
        <f t="shared" si="162"/>
        <v>323156813</v>
      </c>
      <c r="AM103" s="594">
        <f t="shared" si="162"/>
        <v>239118127</v>
      </c>
      <c r="AN103" s="594">
        <f t="shared" si="162"/>
        <v>617025</v>
      </c>
      <c r="AO103" s="594">
        <f t="shared" si="162"/>
        <v>81030480</v>
      </c>
      <c r="AP103" s="594">
        <f t="shared" si="162"/>
        <v>2391181</v>
      </c>
      <c r="AQ103" s="594">
        <f t="shared" si="162"/>
        <v>0</v>
      </c>
      <c r="AR103" s="694">
        <f t="shared" si="162"/>
        <v>392.82560000000007</v>
      </c>
    </row>
    <row r="104" spans="1:44" s="67" customFormat="1" ht="14.1" customHeight="1" x14ac:dyDescent="0.2">
      <c r="A104" s="85"/>
      <c r="E104" s="84"/>
      <c r="F104" s="84"/>
      <c r="G104" s="84"/>
      <c r="H104" s="84"/>
      <c r="I104" s="328">
        <f>SUM(J103:L103)</f>
        <v>283533388</v>
      </c>
      <c r="J104" s="328"/>
      <c r="K104" s="328"/>
      <c r="L104" s="328"/>
      <c r="M104" s="328"/>
      <c r="N104" s="329"/>
      <c r="O104" s="328">
        <f>V103</f>
        <v>531600</v>
      </c>
      <c r="P104" s="329"/>
      <c r="Q104" s="329"/>
      <c r="R104" s="329"/>
      <c r="S104" s="328"/>
      <c r="T104" s="329"/>
      <c r="U104" s="330">
        <f>SUM(O103:T103)</f>
        <v>28781786</v>
      </c>
      <c r="V104" s="330"/>
      <c r="W104" s="331"/>
      <c r="X104" s="331"/>
      <c r="Y104" s="330">
        <f>SUM(V103:X103)</f>
        <v>617025</v>
      </c>
      <c r="Z104" s="330"/>
      <c r="AA104" s="332"/>
      <c r="AB104" s="332"/>
      <c r="AC104" s="332"/>
      <c r="AD104" s="330">
        <f>SUM(Z103:AB103)</f>
        <v>39623425</v>
      </c>
      <c r="AE104" s="333"/>
      <c r="AF104" s="333"/>
      <c r="AG104" s="333"/>
      <c r="AH104" s="333"/>
      <c r="AI104" s="381"/>
      <c r="AJ104" s="333"/>
      <c r="AK104" s="381"/>
      <c r="AL104" s="328">
        <f>SUM(AM103:AP103)</f>
        <v>323156813</v>
      </c>
      <c r="AM104" s="328"/>
      <c r="AN104" s="58"/>
      <c r="AO104" s="330"/>
      <c r="AP104" s="330"/>
      <c r="AQ104" s="330"/>
      <c r="AR104" s="329"/>
    </row>
    <row r="105" spans="1:44" customFormat="1" ht="13.5" thickBot="1" x14ac:dyDescent="0.25">
      <c r="D105" s="20"/>
      <c r="E105" s="21"/>
      <c r="F105" s="20"/>
      <c r="G105" s="37"/>
      <c r="H105" s="21"/>
      <c r="I105" s="328">
        <f>SUM(J106:L106)</f>
        <v>283533388</v>
      </c>
      <c r="J105" s="328"/>
      <c r="K105" s="328"/>
      <c r="L105" s="328"/>
      <c r="M105" s="328"/>
      <c r="N105" s="329"/>
      <c r="O105" s="328">
        <f>V106</f>
        <v>531600</v>
      </c>
      <c r="P105" s="329"/>
      <c r="Q105" s="329"/>
      <c r="R105" s="329"/>
      <c r="S105" s="328"/>
      <c r="T105" s="329"/>
      <c r="U105" s="330">
        <f>SUM(O106:T106)</f>
        <v>28781786</v>
      </c>
      <c r="V105" s="330"/>
      <c r="W105" s="331"/>
      <c r="X105" s="331"/>
      <c r="Y105" s="330">
        <f>SUM(V106:X106)</f>
        <v>617025</v>
      </c>
      <c r="Z105" s="330"/>
      <c r="AA105" s="332"/>
      <c r="AB105" s="332"/>
      <c r="AC105" s="332"/>
      <c r="AD105" s="330">
        <f>SUM(Z106:AB106)</f>
        <v>39623425</v>
      </c>
      <c r="AE105" s="333"/>
      <c r="AF105" s="333"/>
      <c r="AG105" s="333"/>
      <c r="AH105" s="333"/>
      <c r="AI105" s="381"/>
      <c r="AJ105" s="333"/>
      <c r="AK105" s="381"/>
      <c r="AL105" s="328">
        <f>AM106+AN106+AO106+AP106</f>
        <v>323156813</v>
      </c>
      <c r="AM105" s="328"/>
      <c r="AN105" s="58"/>
      <c r="AO105" s="48"/>
      <c r="AP105" s="48"/>
      <c r="AQ105" s="48"/>
      <c r="AR105" s="329"/>
    </row>
    <row r="106" spans="1:44" customFormat="1" ht="13.5" thickBot="1" x14ac:dyDescent="0.25">
      <c r="D106" s="20"/>
      <c r="E106" s="21"/>
      <c r="F106" s="20"/>
      <c r="G106" s="37"/>
      <c r="H106" s="338" t="s">
        <v>0</v>
      </c>
      <c r="I106" s="421">
        <f>SUM(I107:I116)</f>
        <v>283533388</v>
      </c>
      <c r="J106" s="422">
        <f t="shared" ref="J106:AP106" si="163">SUM(J107:J116)</f>
        <v>210336341</v>
      </c>
      <c r="K106" s="422">
        <f t="shared" si="163"/>
        <v>71093683</v>
      </c>
      <c r="L106" s="422">
        <f t="shared" si="163"/>
        <v>2103364</v>
      </c>
      <c r="M106" s="422">
        <f t="shared" ref="M106" si="164">SUM(M107:M116)</f>
        <v>0</v>
      </c>
      <c r="N106" s="693">
        <f t="shared" si="163"/>
        <v>320.08559999999994</v>
      </c>
      <c r="O106" s="101">
        <f t="shared" si="163"/>
        <v>-531600</v>
      </c>
      <c r="P106" s="31">
        <f t="shared" si="163"/>
        <v>29303623</v>
      </c>
      <c r="Q106" s="31">
        <f t="shared" si="163"/>
        <v>0</v>
      </c>
      <c r="R106" s="31">
        <f t="shared" si="163"/>
        <v>0</v>
      </c>
      <c r="S106" s="31">
        <f t="shared" si="163"/>
        <v>0</v>
      </c>
      <c r="T106" s="31">
        <f t="shared" si="163"/>
        <v>9763</v>
      </c>
      <c r="U106" s="31">
        <f t="shared" si="163"/>
        <v>28781786</v>
      </c>
      <c r="V106" s="31">
        <f t="shared" si="163"/>
        <v>531600</v>
      </c>
      <c r="W106" s="31">
        <f t="shared" si="163"/>
        <v>85425</v>
      </c>
      <c r="X106" s="31">
        <f t="shared" si="163"/>
        <v>0</v>
      </c>
      <c r="Y106" s="31">
        <f t="shared" si="163"/>
        <v>617025</v>
      </c>
      <c r="Z106" s="31">
        <f t="shared" ref="Z106" si="165">SUM(Z107:Z116)</f>
        <v>29398811</v>
      </c>
      <c r="AA106" s="31">
        <f t="shared" si="163"/>
        <v>9936797</v>
      </c>
      <c r="AB106" s="31">
        <f t="shared" si="163"/>
        <v>287817</v>
      </c>
      <c r="AC106" s="31">
        <f t="shared" ref="AC106" si="166">SUM(AC107:AC116)</f>
        <v>0</v>
      </c>
      <c r="AD106" s="642">
        <f t="shared" si="163"/>
        <v>39623425</v>
      </c>
      <c r="AE106" s="646">
        <f t="shared" si="163"/>
        <v>-0.19</v>
      </c>
      <c r="AF106" s="32">
        <f t="shared" si="163"/>
        <v>72.930000000000007</v>
      </c>
      <c r="AG106" s="32">
        <f t="shared" si="163"/>
        <v>0</v>
      </c>
      <c r="AH106" s="32">
        <f t="shared" si="163"/>
        <v>0</v>
      </c>
      <c r="AI106" s="32">
        <f t="shared" si="163"/>
        <v>0</v>
      </c>
      <c r="AJ106" s="32">
        <f t="shared" si="163"/>
        <v>0</v>
      </c>
      <c r="AK106" s="647">
        <f t="shared" si="163"/>
        <v>72.740000000000009</v>
      </c>
      <c r="AL106" s="96">
        <f t="shared" si="163"/>
        <v>323156813</v>
      </c>
      <c r="AM106" s="31">
        <f t="shared" si="163"/>
        <v>239118127</v>
      </c>
      <c r="AN106" s="31">
        <f t="shared" si="163"/>
        <v>617025</v>
      </c>
      <c r="AO106" s="31">
        <f t="shared" si="163"/>
        <v>81030480</v>
      </c>
      <c r="AP106" s="31">
        <f t="shared" si="163"/>
        <v>2391181</v>
      </c>
      <c r="AQ106" s="31">
        <f t="shared" ref="AQ106" si="167">SUM(AQ107:AQ116)</f>
        <v>0</v>
      </c>
      <c r="AR106" s="647">
        <f t="shared" ref="AR106" si="168">SUM(AR107:AR116)</f>
        <v>392.82559999999989</v>
      </c>
    </row>
    <row r="107" spans="1:44" customFormat="1" ht="12.75" x14ac:dyDescent="0.2">
      <c r="D107" s="20"/>
      <c r="E107" s="21"/>
      <c r="F107" s="20"/>
      <c r="G107" s="37"/>
      <c r="H107" s="339">
        <v>3111</v>
      </c>
      <c r="I107" s="370">
        <f t="shared" ref="I107:AR107" si="169">SUMIF($F$12:$F$118,"=3111",I$12:I$118)</f>
        <v>63440119</v>
      </c>
      <c r="J107" s="371">
        <f t="shared" si="169"/>
        <v>47062402</v>
      </c>
      <c r="K107" s="371">
        <f t="shared" si="169"/>
        <v>15907092</v>
      </c>
      <c r="L107" s="371">
        <f t="shared" si="169"/>
        <v>470625</v>
      </c>
      <c r="M107" s="371">
        <f t="shared" si="169"/>
        <v>0</v>
      </c>
      <c r="N107" s="649">
        <f t="shared" si="169"/>
        <v>78.3232</v>
      </c>
      <c r="O107" s="29">
        <f t="shared" si="169"/>
        <v>-212400</v>
      </c>
      <c r="P107" s="98">
        <f t="shared" si="169"/>
        <v>1640370</v>
      </c>
      <c r="Q107" s="98">
        <f t="shared" si="169"/>
        <v>0</v>
      </c>
      <c r="R107" s="98">
        <f t="shared" si="169"/>
        <v>0</v>
      </c>
      <c r="S107" s="98">
        <f t="shared" si="169"/>
        <v>0</v>
      </c>
      <c r="T107" s="98">
        <f t="shared" si="169"/>
        <v>0</v>
      </c>
      <c r="U107" s="98">
        <f t="shared" si="169"/>
        <v>1427970</v>
      </c>
      <c r="V107" s="98">
        <f t="shared" si="169"/>
        <v>212400</v>
      </c>
      <c r="W107" s="98">
        <f t="shared" si="169"/>
        <v>0</v>
      </c>
      <c r="X107" s="98">
        <f t="shared" si="169"/>
        <v>0</v>
      </c>
      <c r="Y107" s="98">
        <f t="shared" si="169"/>
        <v>212400</v>
      </c>
      <c r="Z107" s="98">
        <f t="shared" si="169"/>
        <v>1640370</v>
      </c>
      <c r="AA107" s="98">
        <f t="shared" si="169"/>
        <v>554445</v>
      </c>
      <c r="AB107" s="98">
        <f t="shared" si="169"/>
        <v>14279</v>
      </c>
      <c r="AC107" s="98">
        <f t="shared" si="169"/>
        <v>0</v>
      </c>
      <c r="AD107" s="654">
        <f t="shared" si="169"/>
        <v>2209094</v>
      </c>
      <c r="AE107" s="657">
        <f t="shared" si="169"/>
        <v>-0.13</v>
      </c>
      <c r="AF107" s="99">
        <f t="shared" si="169"/>
        <v>4.0999999999999996</v>
      </c>
      <c r="AG107" s="99">
        <f t="shared" si="169"/>
        <v>0</v>
      </c>
      <c r="AH107" s="99">
        <f t="shared" si="169"/>
        <v>0</v>
      </c>
      <c r="AI107" s="99">
        <f t="shared" si="169"/>
        <v>0</v>
      </c>
      <c r="AJ107" s="99">
        <f t="shared" si="169"/>
        <v>0</v>
      </c>
      <c r="AK107" s="658">
        <f t="shared" si="169"/>
        <v>3.9700000000000006</v>
      </c>
      <c r="AL107" s="28">
        <f t="shared" si="169"/>
        <v>65649213</v>
      </c>
      <c r="AM107" s="98">
        <f t="shared" si="169"/>
        <v>48490372</v>
      </c>
      <c r="AN107" s="98">
        <f t="shared" si="169"/>
        <v>212400</v>
      </c>
      <c r="AO107" s="98">
        <f t="shared" si="169"/>
        <v>16461537</v>
      </c>
      <c r="AP107" s="98">
        <f t="shared" si="169"/>
        <v>484904</v>
      </c>
      <c r="AQ107" s="98">
        <f t="shared" si="169"/>
        <v>0</v>
      </c>
      <c r="AR107" s="658">
        <f t="shared" si="169"/>
        <v>82.293199999999985</v>
      </c>
    </row>
    <row r="108" spans="1:44" customFormat="1" ht="12.75" x14ac:dyDescent="0.2">
      <c r="D108" s="20"/>
      <c r="E108" s="21"/>
      <c r="F108" s="20"/>
      <c r="G108" s="37"/>
      <c r="H108" s="2">
        <v>3113</v>
      </c>
      <c r="I108" s="370">
        <f t="shared" ref="I108:AR108" si="170">SUMIF($F$12:$F$118,"=3113",I$12:I$118)</f>
        <v>140137394</v>
      </c>
      <c r="J108" s="14">
        <f t="shared" si="170"/>
        <v>103959490</v>
      </c>
      <c r="K108" s="14">
        <f t="shared" si="170"/>
        <v>35138308</v>
      </c>
      <c r="L108" s="14">
        <f t="shared" si="170"/>
        <v>1039596</v>
      </c>
      <c r="M108" s="14">
        <f t="shared" si="170"/>
        <v>0</v>
      </c>
      <c r="N108" s="651">
        <f t="shared" si="170"/>
        <v>145.95170000000002</v>
      </c>
      <c r="O108" s="34">
        <f t="shared" si="170"/>
        <v>-159000</v>
      </c>
      <c r="P108" s="23">
        <f t="shared" si="170"/>
        <v>20371686</v>
      </c>
      <c r="Q108" s="23">
        <f t="shared" si="170"/>
        <v>0</v>
      </c>
      <c r="R108" s="23">
        <f t="shared" si="170"/>
        <v>0</v>
      </c>
      <c r="S108" s="23">
        <f t="shared" si="170"/>
        <v>0</v>
      </c>
      <c r="T108" s="23">
        <f t="shared" si="170"/>
        <v>0</v>
      </c>
      <c r="U108" s="23">
        <f t="shared" si="170"/>
        <v>20212686</v>
      </c>
      <c r="V108" s="23">
        <f t="shared" si="170"/>
        <v>159000</v>
      </c>
      <c r="W108" s="23">
        <f t="shared" si="170"/>
        <v>0</v>
      </c>
      <c r="X108" s="23">
        <f t="shared" si="170"/>
        <v>0</v>
      </c>
      <c r="Y108" s="23">
        <f t="shared" si="170"/>
        <v>159000</v>
      </c>
      <c r="Z108" s="23">
        <f t="shared" si="170"/>
        <v>20371686</v>
      </c>
      <c r="AA108" s="23">
        <f t="shared" si="170"/>
        <v>6885630</v>
      </c>
      <c r="AB108" s="23">
        <f t="shared" si="170"/>
        <v>202127</v>
      </c>
      <c r="AC108" s="23">
        <f t="shared" si="170"/>
        <v>0</v>
      </c>
      <c r="AD108" s="655">
        <f t="shared" si="170"/>
        <v>27459443</v>
      </c>
      <c r="AE108" s="659">
        <f t="shared" si="170"/>
        <v>0</v>
      </c>
      <c r="AF108" s="24">
        <f t="shared" si="170"/>
        <v>50.84</v>
      </c>
      <c r="AG108" s="24">
        <f t="shared" si="170"/>
        <v>0</v>
      </c>
      <c r="AH108" s="24">
        <f t="shared" si="170"/>
        <v>0</v>
      </c>
      <c r="AI108" s="24">
        <f t="shared" si="170"/>
        <v>0</v>
      </c>
      <c r="AJ108" s="24">
        <f t="shared" si="170"/>
        <v>0</v>
      </c>
      <c r="AK108" s="660">
        <f t="shared" si="170"/>
        <v>50.84</v>
      </c>
      <c r="AL108" s="22">
        <f t="shared" si="170"/>
        <v>167596837</v>
      </c>
      <c r="AM108" s="23">
        <f t="shared" si="170"/>
        <v>124172176</v>
      </c>
      <c r="AN108" s="23">
        <f t="shared" si="170"/>
        <v>159000</v>
      </c>
      <c r="AO108" s="23">
        <f t="shared" si="170"/>
        <v>42023938</v>
      </c>
      <c r="AP108" s="23">
        <f t="shared" si="170"/>
        <v>1241723</v>
      </c>
      <c r="AQ108" s="23">
        <f t="shared" si="170"/>
        <v>0</v>
      </c>
      <c r="AR108" s="660">
        <f t="shared" si="170"/>
        <v>196.79169999999999</v>
      </c>
    </row>
    <row r="109" spans="1:44" customFormat="1" ht="12.75" x14ac:dyDescent="0.2">
      <c r="D109" s="20"/>
      <c r="E109" s="21"/>
      <c r="F109" s="20"/>
      <c r="G109" s="37"/>
      <c r="H109" s="2">
        <v>3114</v>
      </c>
      <c r="I109" s="370">
        <f t="shared" ref="I109:AR109" si="171">SUMIF($F$12:$F$118,"=3114",I$12:I$118)</f>
        <v>15843633</v>
      </c>
      <c r="J109" s="14">
        <f t="shared" si="171"/>
        <v>11753437</v>
      </c>
      <c r="K109" s="14">
        <f t="shared" si="171"/>
        <v>3972662</v>
      </c>
      <c r="L109" s="14">
        <f t="shared" si="171"/>
        <v>117534</v>
      </c>
      <c r="M109" s="14">
        <f t="shared" si="171"/>
        <v>0</v>
      </c>
      <c r="N109" s="651">
        <f t="shared" si="171"/>
        <v>18.3794</v>
      </c>
      <c r="O109" s="34">
        <f t="shared" si="171"/>
        <v>0</v>
      </c>
      <c r="P109" s="23">
        <f t="shared" si="171"/>
        <v>0</v>
      </c>
      <c r="Q109" s="23">
        <f t="shared" si="171"/>
        <v>0</v>
      </c>
      <c r="R109" s="23">
        <f t="shared" si="171"/>
        <v>0</v>
      </c>
      <c r="S109" s="23">
        <f t="shared" si="171"/>
        <v>0</v>
      </c>
      <c r="T109" s="23">
        <f t="shared" si="171"/>
        <v>9763</v>
      </c>
      <c r="U109" s="23">
        <f t="shared" si="171"/>
        <v>9763</v>
      </c>
      <c r="V109" s="23">
        <f t="shared" si="171"/>
        <v>0</v>
      </c>
      <c r="W109" s="23">
        <f t="shared" si="171"/>
        <v>0</v>
      </c>
      <c r="X109" s="23">
        <f t="shared" si="171"/>
        <v>0</v>
      </c>
      <c r="Y109" s="23">
        <f t="shared" si="171"/>
        <v>0</v>
      </c>
      <c r="Z109" s="23">
        <f t="shared" si="171"/>
        <v>9763</v>
      </c>
      <c r="AA109" s="23">
        <f t="shared" si="171"/>
        <v>3300</v>
      </c>
      <c r="AB109" s="23">
        <f t="shared" si="171"/>
        <v>98</v>
      </c>
      <c r="AC109" s="23">
        <f t="shared" si="171"/>
        <v>0</v>
      </c>
      <c r="AD109" s="655">
        <f t="shared" si="171"/>
        <v>13161</v>
      </c>
      <c r="AE109" s="659">
        <f t="shared" si="171"/>
        <v>0</v>
      </c>
      <c r="AF109" s="24">
        <f t="shared" si="171"/>
        <v>0</v>
      </c>
      <c r="AG109" s="24">
        <f t="shared" si="171"/>
        <v>0</v>
      </c>
      <c r="AH109" s="24">
        <f t="shared" si="171"/>
        <v>0</v>
      </c>
      <c r="AI109" s="24">
        <f t="shared" si="171"/>
        <v>0</v>
      </c>
      <c r="AJ109" s="24">
        <f t="shared" si="171"/>
        <v>0</v>
      </c>
      <c r="AK109" s="660">
        <f t="shared" si="171"/>
        <v>0</v>
      </c>
      <c r="AL109" s="22">
        <f t="shared" si="171"/>
        <v>15856794</v>
      </c>
      <c r="AM109" s="23">
        <f t="shared" si="171"/>
        <v>11763200</v>
      </c>
      <c r="AN109" s="23">
        <f t="shared" si="171"/>
        <v>0</v>
      </c>
      <c r="AO109" s="23">
        <f t="shared" si="171"/>
        <v>3975962</v>
      </c>
      <c r="AP109" s="23">
        <f t="shared" si="171"/>
        <v>117632</v>
      </c>
      <c r="AQ109" s="23">
        <f t="shared" si="171"/>
        <v>0</v>
      </c>
      <c r="AR109" s="660">
        <f t="shared" si="171"/>
        <v>18.3794</v>
      </c>
    </row>
    <row r="110" spans="1:44" customFormat="1" ht="12.75" x14ac:dyDescent="0.2">
      <c r="D110" s="20"/>
      <c r="E110" s="21"/>
      <c r="F110" s="20"/>
      <c r="G110" s="37"/>
      <c r="H110" s="2">
        <v>3117</v>
      </c>
      <c r="I110" s="370">
        <f t="shared" ref="I110:AR110" si="172">SUMIF($F$12:$F$118,"=3117",I$12:I$118)</f>
        <v>27617965</v>
      </c>
      <c r="J110" s="14">
        <f t="shared" si="172"/>
        <v>20488105</v>
      </c>
      <c r="K110" s="14">
        <f t="shared" si="172"/>
        <v>6924979</v>
      </c>
      <c r="L110" s="14">
        <f t="shared" si="172"/>
        <v>204881</v>
      </c>
      <c r="M110" s="14">
        <f t="shared" si="172"/>
        <v>0</v>
      </c>
      <c r="N110" s="651">
        <f t="shared" si="172"/>
        <v>30.724599999999995</v>
      </c>
      <c r="O110" s="34">
        <f t="shared" si="172"/>
        <v>-28200</v>
      </c>
      <c r="P110" s="23">
        <f t="shared" si="172"/>
        <v>7291567</v>
      </c>
      <c r="Q110" s="23">
        <f t="shared" si="172"/>
        <v>0</v>
      </c>
      <c r="R110" s="23">
        <f t="shared" si="172"/>
        <v>0</v>
      </c>
      <c r="S110" s="23">
        <f t="shared" si="172"/>
        <v>0</v>
      </c>
      <c r="T110" s="23">
        <f t="shared" si="172"/>
        <v>0</v>
      </c>
      <c r="U110" s="23">
        <f t="shared" si="172"/>
        <v>7263367</v>
      </c>
      <c r="V110" s="23">
        <f t="shared" si="172"/>
        <v>28200</v>
      </c>
      <c r="W110" s="23">
        <f t="shared" si="172"/>
        <v>85425</v>
      </c>
      <c r="X110" s="23">
        <f t="shared" si="172"/>
        <v>0</v>
      </c>
      <c r="Y110" s="23">
        <f t="shared" si="172"/>
        <v>113625</v>
      </c>
      <c r="Z110" s="23">
        <f t="shared" si="172"/>
        <v>7376992</v>
      </c>
      <c r="AA110" s="23">
        <f t="shared" si="172"/>
        <v>2493422</v>
      </c>
      <c r="AB110" s="23">
        <f t="shared" si="172"/>
        <v>72633</v>
      </c>
      <c r="AC110" s="23">
        <f t="shared" si="172"/>
        <v>0</v>
      </c>
      <c r="AD110" s="655">
        <f t="shared" si="172"/>
        <v>9943047</v>
      </c>
      <c r="AE110" s="659">
        <f t="shared" si="172"/>
        <v>-0.01</v>
      </c>
      <c r="AF110" s="24">
        <f t="shared" si="172"/>
        <v>17.990000000000002</v>
      </c>
      <c r="AG110" s="24">
        <f t="shared" si="172"/>
        <v>0</v>
      </c>
      <c r="AH110" s="24">
        <f t="shared" si="172"/>
        <v>0</v>
      </c>
      <c r="AI110" s="24">
        <f t="shared" si="172"/>
        <v>0</v>
      </c>
      <c r="AJ110" s="24">
        <f t="shared" si="172"/>
        <v>0</v>
      </c>
      <c r="AK110" s="660">
        <f t="shared" si="172"/>
        <v>17.980000000000004</v>
      </c>
      <c r="AL110" s="22">
        <f t="shared" si="172"/>
        <v>37561012</v>
      </c>
      <c r="AM110" s="23">
        <f t="shared" si="172"/>
        <v>27751472</v>
      </c>
      <c r="AN110" s="23">
        <f t="shared" si="172"/>
        <v>113625</v>
      </c>
      <c r="AO110" s="23">
        <f t="shared" si="172"/>
        <v>9418401</v>
      </c>
      <c r="AP110" s="23">
        <f t="shared" si="172"/>
        <v>277514</v>
      </c>
      <c r="AQ110" s="23">
        <f t="shared" si="172"/>
        <v>0</v>
      </c>
      <c r="AR110" s="660">
        <f t="shared" si="172"/>
        <v>48.704599999999999</v>
      </c>
    </row>
    <row r="111" spans="1:44" customFormat="1" x14ac:dyDescent="0.25">
      <c r="D111" s="20"/>
      <c r="E111" s="21"/>
      <c r="F111" s="61"/>
      <c r="G111" s="37"/>
      <c r="H111" s="2">
        <v>3122</v>
      </c>
      <c r="I111" s="370">
        <f t="shared" ref="I111:AR111" si="173">SUMIF($F$12:$F$118,"=3122",I$12:I$118)</f>
        <v>0</v>
      </c>
      <c r="J111" s="14">
        <f t="shared" si="173"/>
        <v>0</v>
      </c>
      <c r="K111" s="14">
        <f t="shared" si="173"/>
        <v>0</v>
      </c>
      <c r="L111" s="14">
        <f t="shared" si="173"/>
        <v>0</v>
      </c>
      <c r="M111" s="14">
        <f t="shared" si="173"/>
        <v>0</v>
      </c>
      <c r="N111" s="651">
        <f t="shared" si="173"/>
        <v>0</v>
      </c>
      <c r="O111" s="34">
        <f t="shared" si="173"/>
        <v>0</v>
      </c>
      <c r="P111" s="23">
        <f t="shared" si="173"/>
        <v>0</v>
      </c>
      <c r="Q111" s="23">
        <f t="shared" si="173"/>
        <v>0</v>
      </c>
      <c r="R111" s="23">
        <f t="shared" si="173"/>
        <v>0</v>
      </c>
      <c r="S111" s="23">
        <f t="shared" si="173"/>
        <v>0</v>
      </c>
      <c r="T111" s="23">
        <f t="shared" si="173"/>
        <v>0</v>
      </c>
      <c r="U111" s="23">
        <f t="shared" si="173"/>
        <v>0</v>
      </c>
      <c r="V111" s="23">
        <f t="shared" si="173"/>
        <v>0</v>
      </c>
      <c r="W111" s="23">
        <f t="shared" si="173"/>
        <v>0</v>
      </c>
      <c r="X111" s="23">
        <f t="shared" si="173"/>
        <v>0</v>
      </c>
      <c r="Y111" s="23">
        <f t="shared" si="173"/>
        <v>0</v>
      </c>
      <c r="Z111" s="23">
        <f t="shared" si="173"/>
        <v>0</v>
      </c>
      <c r="AA111" s="23">
        <f t="shared" si="173"/>
        <v>0</v>
      </c>
      <c r="AB111" s="23">
        <f t="shared" si="173"/>
        <v>0</v>
      </c>
      <c r="AC111" s="23">
        <f t="shared" si="173"/>
        <v>0</v>
      </c>
      <c r="AD111" s="655">
        <f t="shared" si="173"/>
        <v>0</v>
      </c>
      <c r="AE111" s="659">
        <f t="shared" si="173"/>
        <v>0</v>
      </c>
      <c r="AF111" s="24">
        <f t="shared" si="173"/>
        <v>0</v>
      </c>
      <c r="AG111" s="24">
        <f t="shared" si="173"/>
        <v>0</v>
      </c>
      <c r="AH111" s="24">
        <f t="shared" si="173"/>
        <v>0</v>
      </c>
      <c r="AI111" s="24">
        <f t="shared" si="173"/>
        <v>0</v>
      </c>
      <c r="AJ111" s="24">
        <f t="shared" si="173"/>
        <v>0</v>
      </c>
      <c r="AK111" s="660">
        <f t="shared" si="173"/>
        <v>0</v>
      </c>
      <c r="AL111" s="22">
        <f t="shared" si="173"/>
        <v>0</v>
      </c>
      <c r="AM111" s="23">
        <f t="shared" si="173"/>
        <v>0</v>
      </c>
      <c r="AN111" s="23">
        <f t="shared" si="173"/>
        <v>0</v>
      </c>
      <c r="AO111" s="23">
        <f t="shared" si="173"/>
        <v>0</v>
      </c>
      <c r="AP111" s="23">
        <f t="shared" si="173"/>
        <v>0</v>
      </c>
      <c r="AQ111" s="23">
        <f t="shared" si="173"/>
        <v>0</v>
      </c>
      <c r="AR111" s="660">
        <f t="shared" si="173"/>
        <v>0</v>
      </c>
    </row>
    <row r="112" spans="1:44" customFormat="1" ht="12.75" x14ac:dyDescent="0.2">
      <c r="C112" s="7"/>
      <c r="D112" s="20"/>
      <c r="E112" s="21"/>
      <c r="F112" s="20"/>
      <c r="G112" s="37"/>
      <c r="H112" s="2">
        <v>3124</v>
      </c>
      <c r="I112" s="370">
        <f t="shared" ref="I112:AR112" si="174">SUMIF($F$12:$F$118,"=3124",I$12:I$118)</f>
        <v>0</v>
      </c>
      <c r="J112" s="14">
        <f t="shared" si="174"/>
        <v>0</v>
      </c>
      <c r="K112" s="14">
        <f t="shared" si="174"/>
        <v>0</v>
      </c>
      <c r="L112" s="14">
        <f t="shared" si="174"/>
        <v>0</v>
      </c>
      <c r="M112" s="14">
        <f t="shared" si="174"/>
        <v>0</v>
      </c>
      <c r="N112" s="651">
        <f t="shared" si="174"/>
        <v>0</v>
      </c>
      <c r="O112" s="34">
        <f t="shared" si="174"/>
        <v>0</v>
      </c>
      <c r="P112" s="23">
        <f t="shared" si="174"/>
        <v>0</v>
      </c>
      <c r="Q112" s="23">
        <f t="shared" si="174"/>
        <v>0</v>
      </c>
      <c r="R112" s="23">
        <f t="shared" si="174"/>
        <v>0</v>
      </c>
      <c r="S112" s="23">
        <f t="shared" si="174"/>
        <v>0</v>
      </c>
      <c r="T112" s="23">
        <f t="shared" si="174"/>
        <v>0</v>
      </c>
      <c r="U112" s="23">
        <f t="shared" si="174"/>
        <v>0</v>
      </c>
      <c r="V112" s="23">
        <f t="shared" si="174"/>
        <v>0</v>
      </c>
      <c r="W112" s="23">
        <f t="shared" si="174"/>
        <v>0</v>
      </c>
      <c r="X112" s="23">
        <f t="shared" si="174"/>
        <v>0</v>
      </c>
      <c r="Y112" s="23">
        <f t="shared" si="174"/>
        <v>0</v>
      </c>
      <c r="Z112" s="23">
        <f t="shared" si="174"/>
        <v>0</v>
      </c>
      <c r="AA112" s="23">
        <f t="shared" si="174"/>
        <v>0</v>
      </c>
      <c r="AB112" s="23">
        <f t="shared" si="174"/>
        <v>0</v>
      </c>
      <c r="AC112" s="23">
        <f t="shared" si="174"/>
        <v>0</v>
      </c>
      <c r="AD112" s="655">
        <f t="shared" si="174"/>
        <v>0</v>
      </c>
      <c r="AE112" s="659">
        <f t="shared" si="174"/>
        <v>0</v>
      </c>
      <c r="AF112" s="24">
        <f t="shared" si="174"/>
        <v>0</v>
      </c>
      <c r="AG112" s="24">
        <f t="shared" si="174"/>
        <v>0</v>
      </c>
      <c r="AH112" s="24">
        <f t="shared" si="174"/>
        <v>0</v>
      </c>
      <c r="AI112" s="24">
        <f t="shared" si="174"/>
        <v>0</v>
      </c>
      <c r="AJ112" s="24">
        <f t="shared" si="174"/>
        <v>0</v>
      </c>
      <c r="AK112" s="660">
        <f t="shared" si="174"/>
        <v>0</v>
      </c>
      <c r="AL112" s="22">
        <f t="shared" si="174"/>
        <v>0</v>
      </c>
      <c r="AM112" s="23">
        <f t="shared" si="174"/>
        <v>0</v>
      </c>
      <c r="AN112" s="23">
        <f t="shared" si="174"/>
        <v>0</v>
      </c>
      <c r="AO112" s="23">
        <f t="shared" si="174"/>
        <v>0</v>
      </c>
      <c r="AP112" s="23">
        <f t="shared" si="174"/>
        <v>0</v>
      </c>
      <c r="AQ112" s="23">
        <f t="shared" si="174"/>
        <v>0</v>
      </c>
      <c r="AR112" s="660">
        <f t="shared" si="174"/>
        <v>0</v>
      </c>
    </row>
    <row r="113" spans="1:44" customFormat="1" ht="12.75" x14ac:dyDescent="0.2">
      <c r="D113" s="20"/>
      <c r="E113" s="21"/>
      <c r="F113" s="21"/>
      <c r="G113" s="37"/>
      <c r="H113" s="2">
        <v>3141</v>
      </c>
      <c r="I113" s="370">
        <f t="shared" ref="I113:AR113" si="175">SUMIF($F$12:$F$118,"=3141",I$12:I$118)</f>
        <v>0</v>
      </c>
      <c r="J113" s="14">
        <f t="shared" si="175"/>
        <v>0</v>
      </c>
      <c r="K113" s="14">
        <f t="shared" si="175"/>
        <v>0</v>
      </c>
      <c r="L113" s="14">
        <f t="shared" si="175"/>
        <v>0</v>
      </c>
      <c r="M113" s="14">
        <f t="shared" si="175"/>
        <v>0</v>
      </c>
      <c r="N113" s="651">
        <f t="shared" si="175"/>
        <v>0</v>
      </c>
      <c r="O113" s="34">
        <f t="shared" si="175"/>
        <v>0</v>
      </c>
      <c r="P113" s="23">
        <f t="shared" si="175"/>
        <v>0</v>
      </c>
      <c r="Q113" s="23">
        <f t="shared" si="175"/>
        <v>0</v>
      </c>
      <c r="R113" s="23">
        <f t="shared" si="175"/>
        <v>0</v>
      </c>
      <c r="S113" s="23">
        <f t="shared" si="175"/>
        <v>0</v>
      </c>
      <c r="T113" s="23">
        <f t="shared" si="175"/>
        <v>0</v>
      </c>
      <c r="U113" s="23">
        <f t="shared" si="175"/>
        <v>0</v>
      </c>
      <c r="V113" s="23">
        <f t="shared" si="175"/>
        <v>0</v>
      </c>
      <c r="W113" s="23">
        <f t="shared" si="175"/>
        <v>0</v>
      </c>
      <c r="X113" s="23">
        <f t="shared" si="175"/>
        <v>0</v>
      </c>
      <c r="Y113" s="23">
        <f t="shared" si="175"/>
        <v>0</v>
      </c>
      <c r="Z113" s="23">
        <f t="shared" si="175"/>
        <v>0</v>
      </c>
      <c r="AA113" s="23">
        <f t="shared" si="175"/>
        <v>0</v>
      </c>
      <c r="AB113" s="23">
        <f t="shared" si="175"/>
        <v>0</v>
      </c>
      <c r="AC113" s="23">
        <f t="shared" si="175"/>
        <v>0</v>
      </c>
      <c r="AD113" s="655">
        <f t="shared" si="175"/>
        <v>0</v>
      </c>
      <c r="AE113" s="659">
        <f t="shared" si="175"/>
        <v>0</v>
      </c>
      <c r="AF113" s="24">
        <f t="shared" si="175"/>
        <v>0</v>
      </c>
      <c r="AG113" s="24">
        <f t="shared" si="175"/>
        <v>0</v>
      </c>
      <c r="AH113" s="24">
        <f t="shared" si="175"/>
        <v>0</v>
      </c>
      <c r="AI113" s="24">
        <f t="shared" si="175"/>
        <v>0</v>
      </c>
      <c r="AJ113" s="24">
        <f t="shared" si="175"/>
        <v>0</v>
      </c>
      <c r="AK113" s="660">
        <f t="shared" si="175"/>
        <v>0</v>
      </c>
      <c r="AL113" s="22">
        <f t="shared" si="175"/>
        <v>0</v>
      </c>
      <c r="AM113" s="23">
        <f t="shared" si="175"/>
        <v>0</v>
      </c>
      <c r="AN113" s="23">
        <f t="shared" si="175"/>
        <v>0</v>
      </c>
      <c r="AO113" s="23">
        <f t="shared" si="175"/>
        <v>0</v>
      </c>
      <c r="AP113" s="23">
        <f t="shared" si="175"/>
        <v>0</v>
      </c>
      <c r="AQ113" s="23">
        <f t="shared" si="175"/>
        <v>0</v>
      </c>
      <c r="AR113" s="660">
        <f t="shared" si="175"/>
        <v>0</v>
      </c>
    </row>
    <row r="114" spans="1:44" customFormat="1" ht="12.75" x14ac:dyDescent="0.2">
      <c r="C114" s="7"/>
      <c r="D114" s="20"/>
      <c r="E114" s="21"/>
      <c r="F114" s="20"/>
      <c r="G114" s="37"/>
      <c r="H114" s="2">
        <v>3143</v>
      </c>
      <c r="I114" s="370">
        <f t="shared" ref="I114:AR114" si="176">SUMIF($F$12:$F$118,"=3143",I$12:I$118)</f>
        <v>17965528</v>
      </c>
      <c r="J114" s="14">
        <f t="shared" si="176"/>
        <v>13327544</v>
      </c>
      <c r="K114" s="14">
        <f t="shared" si="176"/>
        <v>4504709</v>
      </c>
      <c r="L114" s="14">
        <f t="shared" si="176"/>
        <v>133275</v>
      </c>
      <c r="M114" s="14">
        <f t="shared" si="176"/>
        <v>0</v>
      </c>
      <c r="N114" s="651">
        <f t="shared" si="176"/>
        <v>25.714300000000005</v>
      </c>
      <c r="O114" s="34">
        <f t="shared" si="176"/>
        <v>-69000</v>
      </c>
      <c r="P114" s="23">
        <f t="shared" si="176"/>
        <v>0</v>
      </c>
      <c r="Q114" s="23">
        <f t="shared" si="176"/>
        <v>0</v>
      </c>
      <c r="R114" s="23">
        <f t="shared" si="176"/>
        <v>0</v>
      </c>
      <c r="S114" s="23">
        <f t="shared" si="176"/>
        <v>0</v>
      </c>
      <c r="T114" s="23">
        <f t="shared" si="176"/>
        <v>0</v>
      </c>
      <c r="U114" s="23">
        <f t="shared" si="176"/>
        <v>-69000</v>
      </c>
      <c r="V114" s="23">
        <f t="shared" si="176"/>
        <v>69000</v>
      </c>
      <c r="W114" s="23">
        <f t="shared" si="176"/>
        <v>0</v>
      </c>
      <c r="X114" s="23">
        <f t="shared" si="176"/>
        <v>0</v>
      </c>
      <c r="Y114" s="23">
        <f t="shared" si="176"/>
        <v>69000</v>
      </c>
      <c r="Z114" s="23">
        <f t="shared" si="176"/>
        <v>0</v>
      </c>
      <c r="AA114" s="23">
        <f t="shared" si="176"/>
        <v>0</v>
      </c>
      <c r="AB114" s="23">
        <f t="shared" si="176"/>
        <v>-690</v>
      </c>
      <c r="AC114" s="23">
        <f t="shared" si="176"/>
        <v>0</v>
      </c>
      <c r="AD114" s="655">
        <f t="shared" si="176"/>
        <v>-690</v>
      </c>
      <c r="AE114" s="659">
        <f t="shared" si="176"/>
        <v>0</v>
      </c>
      <c r="AF114" s="24">
        <f t="shared" si="176"/>
        <v>0</v>
      </c>
      <c r="AG114" s="24">
        <f t="shared" si="176"/>
        <v>0</v>
      </c>
      <c r="AH114" s="24">
        <f t="shared" si="176"/>
        <v>0</v>
      </c>
      <c r="AI114" s="24">
        <f t="shared" si="176"/>
        <v>0</v>
      </c>
      <c r="AJ114" s="24">
        <f t="shared" si="176"/>
        <v>0</v>
      </c>
      <c r="AK114" s="660">
        <f t="shared" si="176"/>
        <v>0</v>
      </c>
      <c r="AL114" s="22">
        <f t="shared" si="176"/>
        <v>17964838</v>
      </c>
      <c r="AM114" s="23">
        <f t="shared" si="176"/>
        <v>13258544</v>
      </c>
      <c r="AN114" s="23">
        <f t="shared" si="176"/>
        <v>69000</v>
      </c>
      <c r="AO114" s="23">
        <f t="shared" si="176"/>
        <v>4504709</v>
      </c>
      <c r="AP114" s="23">
        <f t="shared" si="176"/>
        <v>132585</v>
      </c>
      <c r="AQ114" s="23">
        <f t="shared" si="176"/>
        <v>0</v>
      </c>
      <c r="AR114" s="660">
        <f t="shared" si="176"/>
        <v>25.714300000000005</v>
      </c>
    </row>
    <row r="115" spans="1:44" customFormat="1" ht="12.75" x14ac:dyDescent="0.2">
      <c r="D115" s="20"/>
      <c r="E115" s="21"/>
      <c r="F115" s="20"/>
      <c r="G115" s="37"/>
      <c r="H115" s="2">
        <v>3231</v>
      </c>
      <c r="I115" s="370">
        <f t="shared" ref="I115:AR115" si="177">SUMIF($F$12:$F$118,"=3231",I$12:I$118)</f>
        <v>15538230</v>
      </c>
      <c r="J115" s="14">
        <f t="shared" si="177"/>
        <v>11526877</v>
      </c>
      <c r="K115" s="14">
        <f t="shared" si="177"/>
        <v>3896085</v>
      </c>
      <c r="L115" s="14">
        <f t="shared" si="177"/>
        <v>115268</v>
      </c>
      <c r="M115" s="14">
        <f t="shared" si="177"/>
        <v>0</v>
      </c>
      <c r="N115" s="651">
        <f t="shared" si="177"/>
        <v>17.2424</v>
      </c>
      <c r="O115" s="34">
        <f t="shared" si="177"/>
        <v>-63000</v>
      </c>
      <c r="P115" s="23">
        <f t="shared" si="177"/>
        <v>0</v>
      </c>
      <c r="Q115" s="23">
        <f t="shared" si="177"/>
        <v>0</v>
      </c>
      <c r="R115" s="23">
        <f t="shared" si="177"/>
        <v>0</v>
      </c>
      <c r="S115" s="23">
        <f t="shared" si="177"/>
        <v>0</v>
      </c>
      <c r="T115" s="23">
        <f t="shared" si="177"/>
        <v>0</v>
      </c>
      <c r="U115" s="23">
        <f t="shared" si="177"/>
        <v>-63000</v>
      </c>
      <c r="V115" s="23">
        <f t="shared" si="177"/>
        <v>63000</v>
      </c>
      <c r="W115" s="23">
        <f t="shared" si="177"/>
        <v>0</v>
      </c>
      <c r="X115" s="23">
        <f t="shared" si="177"/>
        <v>0</v>
      </c>
      <c r="Y115" s="23">
        <f t="shared" si="177"/>
        <v>63000</v>
      </c>
      <c r="Z115" s="23">
        <f t="shared" si="177"/>
        <v>0</v>
      </c>
      <c r="AA115" s="23">
        <f t="shared" si="177"/>
        <v>0</v>
      </c>
      <c r="AB115" s="23">
        <f t="shared" si="177"/>
        <v>-630</v>
      </c>
      <c r="AC115" s="23">
        <f t="shared" si="177"/>
        <v>0</v>
      </c>
      <c r="AD115" s="655">
        <f t="shared" si="177"/>
        <v>-630</v>
      </c>
      <c r="AE115" s="659">
        <f t="shared" si="177"/>
        <v>-0.05</v>
      </c>
      <c r="AF115" s="24">
        <f t="shared" si="177"/>
        <v>0</v>
      </c>
      <c r="AG115" s="24">
        <f t="shared" si="177"/>
        <v>0</v>
      </c>
      <c r="AH115" s="24">
        <f t="shared" si="177"/>
        <v>0</v>
      </c>
      <c r="AI115" s="24">
        <f t="shared" si="177"/>
        <v>0</v>
      </c>
      <c r="AJ115" s="24">
        <f t="shared" si="177"/>
        <v>0</v>
      </c>
      <c r="AK115" s="660">
        <f t="shared" si="177"/>
        <v>-0.05</v>
      </c>
      <c r="AL115" s="22">
        <f t="shared" si="177"/>
        <v>15537600</v>
      </c>
      <c r="AM115" s="23">
        <f t="shared" si="177"/>
        <v>11463877</v>
      </c>
      <c r="AN115" s="23">
        <f t="shared" si="177"/>
        <v>63000</v>
      </c>
      <c r="AO115" s="23">
        <f t="shared" si="177"/>
        <v>3896085</v>
      </c>
      <c r="AP115" s="23">
        <f t="shared" si="177"/>
        <v>114638</v>
      </c>
      <c r="AQ115" s="23">
        <f t="shared" si="177"/>
        <v>0</v>
      </c>
      <c r="AR115" s="660">
        <f t="shared" si="177"/>
        <v>17.192399999999999</v>
      </c>
    </row>
    <row r="116" spans="1:44" customFormat="1" ht="13.5" thickBot="1" x14ac:dyDescent="0.25">
      <c r="D116" s="20"/>
      <c r="E116" s="21"/>
      <c r="F116" s="20"/>
      <c r="G116" s="37"/>
      <c r="H116" s="103">
        <v>3233</v>
      </c>
      <c r="I116" s="867">
        <f t="shared" ref="I116:AR116" si="178">SUMIF($F$12:$F$118,"=3233",I$12:I$118)</f>
        <v>2990519</v>
      </c>
      <c r="J116" s="123">
        <f t="shared" si="178"/>
        <v>2218486</v>
      </c>
      <c r="K116" s="123">
        <f t="shared" si="178"/>
        <v>749848</v>
      </c>
      <c r="L116" s="123">
        <f t="shared" si="178"/>
        <v>22185</v>
      </c>
      <c r="M116" s="123">
        <f t="shared" si="178"/>
        <v>0</v>
      </c>
      <c r="N116" s="653">
        <f t="shared" si="178"/>
        <v>3.75</v>
      </c>
      <c r="O116" s="102">
        <f t="shared" si="178"/>
        <v>0</v>
      </c>
      <c r="P116" s="26">
        <f t="shared" si="178"/>
        <v>0</v>
      </c>
      <c r="Q116" s="26">
        <f t="shared" si="178"/>
        <v>0</v>
      </c>
      <c r="R116" s="26">
        <f t="shared" si="178"/>
        <v>0</v>
      </c>
      <c r="S116" s="26">
        <f t="shared" si="178"/>
        <v>0</v>
      </c>
      <c r="T116" s="26">
        <f t="shared" si="178"/>
        <v>0</v>
      </c>
      <c r="U116" s="26">
        <f t="shared" si="178"/>
        <v>0</v>
      </c>
      <c r="V116" s="26">
        <f t="shared" si="178"/>
        <v>0</v>
      </c>
      <c r="W116" s="26">
        <f t="shared" si="178"/>
        <v>0</v>
      </c>
      <c r="X116" s="26">
        <f t="shared" si="178"/>
        <v>0</v>
      </c>
      <c r="Y116" s="26">
        <f t="shared" si="178"/>
        <v>0</v>
      </c>
      <c r="Z116" s="26">
        <f t="shared" si="178"/>
        <v>0</v>
      </c>
      <c r="AA116" s="26">
        <f t="shared" si="178"/>
        <v>0</v>
      </c>
      <c r="AB116" s="26">
        <f t="shared" si="178"/>
        <v>0</v>
      </c>
      <c r="AC116" s="26">
        <f t="shared" si="178"/>
        <v>0</v>
      </c>
      <c r="AD116" s="656">
        <f t="shared" si="178"/>
        <v>0</v>
      </c>
      <c r="AE116" s="661">
        <f t="shared" si="178"/>
        <v>0</v>
      </c>
      <c r="AF116" s="97">
        <f t="shared" si="178"/>
        <v>0</v>
      </c>
      <c r="AG116" s="97">
        <f t="shared" si="178"/>
        <v>0</v>
      </c>
      <c r="AH116" s="97">
        <f t="shared" si="178"/>
        <v>0</v>
      </c>
      <c r="AI116" s="97">
        <f t="shared" si="178"/>
        <v>0</v>
      </c>
      <c r="AJ116" s="97">
        <f t="shared" si="178"/>
        <v>0</v>
      </c>
      <c r="AK116" s="662">
        <f t="shared" si="178"/>
        <v>0</v>
      </c>
      <c r="AL116" s="25">
        <f t="shared" si="178"/>
        <v>2990519</v>
      </c>
      <c r="AM116" s="26">
        <f t="shared" si="178"/>
        <v>2218486</v>
      </c>
      <c r="AN116" s="26">
        <f t="shared" si="178"/>
        <v>0</v>
      </c>
      <c r="AO116" s="26">
        <f t="shared" si="178"/>
        <v>749848</v>
      </c>
      <c r="AP116" s="26">
        <f t="shared" si="178"/>
        <v>22185</v>
      </c>
      <c r="AQ116" s="26">
        <f t="shared" si="178"/>
        <v>0</v>
      </c>
      <c r="AR116" s="662">
        <f t="shared" si="178"/>
        <v>3.75</v>
      </c>
    </row>
    <row r="118" spans="1:44" s="49" customFormat="1" x14ac:dyDescent="0.25">
      <c r="A118" s="61"/>
      <c r="B118" s="60"/>
      <c r="C118" s="60"/>
      <c r="D118" s="60"/>
      <c r="E118" s="61"/>
      <c r="F118" s="84"/>
      <c r="G118" s="61"/>
      <c r="H118" s="61"/>
      <c r="I118" s="61"/>
      <c r="J118" s="61"/>
      <c r="K118" s="61"/>
      <c r="L118" s="61"/>
      <c r="M118" s="61"/>
      <c r="N118" s="61"/>
      <c r="O118" s="61"/>
      <c r="AE118" s="50"/>
      <c r="AF118" s="50"/>
      <c r="AG118" s="50"/>
      <c r="AH118" s="50"/>
      <c r="AI118" s="50"/>
      <c r="AJ118" s="50"/>
      <c r="AK118" s="50"/>
      <c r="AR118" s="50"/>
    </row>
    <row r="119" spans="1:44" x14ac:dyDescent="0.25">
      <c r="I119" s="61"/>
      <c r="J119" s="61"/>
      <c r="K119" s="61"/>
      <c r="L119" s="61"/>
      <c r="M119" s="61"/>
      <c r="N119" s="61"/>
      <c r="O119" s="61"/>
    </row>
    <row r="120" spans="1:44" x14ac:dyDescent="0.25"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</row>
    <row r="121" spans="1:44" x14ac:dyDescent="0.25"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</row>
    <row r="122" spans="1:44" x14ac:dyDescent="0.25">
      <c r="E122" s="60"/>
      <c r="F122" s="60"/>
      <c r="G122" s="60"/>
      <c r="H122" s="60"/>
      <c r="J122" s="60"/>
      <c r="K122" s="60"/>
      <c r="L122" s="60"/>
      <c r="M122" s="60"/>
      <c r="N122" s="50"/>
      <c r="O122" s="60"/>
      <c r="P122" s="60"/>
      <c r="Q122" s="60"/>
      <c r="R122" s="60"/>
      <c r="S122" s="60"/>
    </row>
    <row r="123" spans="1:44" x14ac:dyDescent="0.25">
      <c r="E123" s="60"/>
      <c r="F123" s="60"/>
      <c r="G123" s="60"/>
      <c r="H123" s="60"/>
      <c r="J123" s="60"/>
      <c r="K123" s="60"/>
      <c r="L123" s="60"/>
      <c r="M123" s="60"/>
      <c r="N123" s="50"/>
      <c r="O123" s="60"/>
      <c r="P123" s="60"/>
      <c r="Q123" s="60"/>
      <c r="R123" s="60"/>
      <c r="S123" s="60"/>
    </row>
    <row r="124" spans="1:44" x14ac:dyDescent="0.25">
      <c r="E124" s="60"/>
      <c r="F124" s="60"/>
      <c r="G124" s="60"/>
      <c r="H124" s="60"/>
      <c r="J124" s="60"/>
      <c r="K124" s="60"/>
      <c r="L124" s="60"/>
      <c r="M124" s="60"/>
      <c r="N124" s="50"/>
      <c r="O124" s="60"/>
      <c r="P124" s="60"/>
      <c r="Q124" s="60"/>
      <c r="R124" s="60"/>
      <c r="S124" s="60"/>
    </row>
    <row r="125" spans="1:44" x14ac:dyDescent="0.25">
      <c r="E125" s="60"/>
      <c r="F125" s="60"/>
      <c r="G125" s="60"/>
      <c r="H125" s="60"/>
      <c r="J125" s="60"/>
      <c r="K125" s="60"/>
      <c r="L125" s="60"/>
      <c r="M125" s="60"/>
      <c r="N125" s="50"/>
      <c r="O125" s="60"/>
      <c r="P125" s="60"/>
      <c r="Q125" s="60"/>
      <c r="R125" s="60"/>
      <c r="S125" s="60"/>
    </row>
    <row r="126" spans="1:44" x14ac:dyDescent="0.25">
      <c r="E126" s="60"/>
      <c r="F126" s="60"/>
      <c r="G126" s="60"/>
      <c r="H126" s="60"/>
      <c r="J126" s="60"/>
      <c r="K126" s="60"/>
      <c r="L126" s="60"/>
      <c r="M126" s="60"/>
      <c r="N126" s="50"/>
      <c r="O126" s="60"/>
      <c r="P126" s="60"/>
      <c r="Q126" s="60"/>
      <c r="R126" s="60"/>
      <c r="S126" s="60"/>
    </row>
    <row r="127" spans="1:44" x14ac:dyDescent="0.25">
      <c r="E127" s="60"/>
      <c r="F127" s="60"/>
      <c r="G127" s="60"/>
      <c r="H127" s="60"/>
      <c r="J127" s="60"/>
      <c r="K127" s="60"/>
      <c r="L127" s="60"/>
      <c r="M127" s="60"/>
      <c r="N127" s="50"/>
      <c r="O127" s="60"/>
      <c r="P127" s="60"/>
      <c r="Q127" s="60"/>
      <c r="R127" s="60"/>
      <c r="S127" s="60"/>
    </row>
    <row r="128" spans="1:44" x14ac:dyDescent="0.25">
      <c r="E128" s="60"/>
      <c r="F128" s="60"/>
      <c r="G128" s="60"/>
      <c r="H128" s="60"/>
      <c r="J128" s="60"/>
      <c r="K128" s="60"/>
      <c r="L128" s="60"/>
      <c r="M128" s="60"/>
      <c r="N128" s="50"/>
      <c r="O128" s="60"/>
      <c r="P128" s="60"/>
      <c r="Q128" s="60"/>
      <c r="R128" s="60"/>
      <c r="S128" s="60"/>
    </row>
    <row r="129" spans="5:19" x14ac:dyDescent="0.25">
      <c r="E129" s="60"/>
      <c r="F129" s="60"/>
      <c r="G129" s="60"/>
      <c r="H129" s="60"/>
      <c r="J129" s="60"/>
      <c r="K129" s="60"/>
      <c r="L129" s="60"/>
      <c r="M129" s="60"/>
      <c r="N129" s="50"/>
      <c r="O129" s="60"/>
      <c r="P129" s="60"/>
      <c r="Q129" s="60"/>
      <c r="R129" s="60"/>
      <c r="S129" s="60"/>
    </row>
    <row r="130" spans="5:19" x14ac:dyDescent="0.25">
      <c r="E130" s="60"/>
      <c r="F130" s="60"/>
      <c r="G130" s="60"/>
      <c r="H130" s="60"/>
      <c r="J130" s="60"/>
      <c r="K130" s="60"/>
      <c r="L130" s="60"/>
      <c r="M130" s="60"/>
      <c r="N130" s="50"/>
      <c r="O130" s="60"/>
      <c r="P130" s="60"/>
      <c r="Q130" s="60"/>
      <c r="R130" s="60"/>
      <c r="S130" s="60"/>
    </row>
    <row r="131" spans="5:19" x14ac:dyDescent="0.25">
      <c r="E131" s="60"/>
      <c r="F131" s="60"/>
      <c r="G131" s="60"/>
      <c r="H131" s="60"/>
      <c r="J131" s="60"/>
      <c r="K131" s="60"/>
      <c r="L131" s="60"/>
      <c r="M131" s="60"/>
      <c r="N131" s="50"/>
      <c r="O131" s="60"/>
      <c r="P131" s="60"/>
      <c r="Q131" s="60"/>
      <c r="R131" s="60"/>
      <c r="S131" s="60"/>
    </row>
    <row r="132" spans="5:19" x14ac:dyDescent="0.25">
      <c r="E132" s="60"/>
      <c r="F132" s="60"/>
      <c r="G132" s="60"/>
      <c r="H132" s="60"/>
      <c r="J132" s="60"/>
      <c r="K132" s="60"/>
      <c r="L132" s="60"/>
      <c r="M132" s="60"/>
      <c r="N132" s="50"/>
      <c r="O132" s="60"/>
      <c r="P132" s="60"/>
      <c r="Q132" s="60"/>
      <c r="R132" s="60"/>
      <c r="S132" s="60"/>
    </row>
    <row r="133" spans="5:19" x14ac:dyDescent="0.25">
      <c r="E133" s="60"/>
      <c r="F133" s="60"/>
      <c r="G133" s="60"/>
      <c r="H133" s="60"/>
      <c r="J133" s="60"/>
      <c r="K133" s="60"/>
      <c r="L133" s="60"/>
      <c r="M133" s="60"/>
      <c r="N133" s="50"/>
      <c r="O133" s="60"/>
      <c r="P133" s="60"/>
      <c r="Q133" s="60"/>
      <c r="R133" s="60"/>
      <c r="S133" s="60"/>
    </row>
    <row r="134" spans="5:19" x14ac:dyDescent="0.25">
      <c r="E134" s="60"/>
      <c r="F134" s="60"/>
      <c r="G134" s="60"/>
      <c r="H134" s="60"/>
      <c r="J134" s="60"/>
      <c r="K134" s="60"/>
      <c r="L134" s="60"/>
      <c r="M134" s="60"/>
      <c r="N134" s="50"/>
      <c r="O134" s="60"/>
      <c r="P134" s="60"/>
      <c r="Q134" s="60"/>
      <c r="R134" s="60"/>
      <c r="S134" s="60"/>
    </row>
    <row r="136" spans="5:19" x14ac:dyDescent="0.25">
      <c r="N136" s="167"/>
    </row>
    <row r="137" spans="5:19" x14ac:dyDescent="0.25">
      <c r="N137" s="167"/>
    </row>
    <row r="138" spans="5:19" x14ac:dyDescent="0.25">
      <c r="N138" s="167"/>
    </row>
    <row r="139" spans="5:19" x14ac:dyDescent="0.25">
      <c r="N139" s="167"/>
    </row>
    <row r="140" spans="5:19" x14ac:dyDescent="0.25">
      <c r="N140" s="167"/>
    </row>
    <row r="141" spans="5:19" x14ac:dyDescent="0.25">
      <c r="N141" s="167"/>
    </row>
    <row r="142" spans="5:19" x14ac:dyDescent="0.25">
      <c r="N142" s="167"/>
    </row>
    <row r="143" spans="5:19" x14ac:dyDescent="0.25">
      <c r="N143" s="167"/>
    </row>
    <row r="144" spans="5:19" x14ac:dyDescent="0.25">
      <c r="N144" s="167"/>
    </row>
    <row r="145" spans="14:14" x14ac:dyDescent="0.25">
      <c r="N145" s="167"/>
    </row>
    <row r="146" spans="14:14" x14ac:dyDescent="0.25">
      <c r="N146" s="167"/>
    </row>
    <row r="147" spans="14:14" x14ac:dyDescent="0.25">
      <c r="N147" s="167"/>
    </row>
    <row r="148" spans="14:14" x14ac:dyDescent="0.25">
      <c r="N148" s="167"/>
    </row>
    <row r="149" spans="14:14" x14ac:dyDescent="0.25">
      <c r="N149" s="167"/>
    </row>
    <row r="150" spans="14:14" x14ac:dyDescent="0.25">
      <c r="N150" s="167"/>
    </row>
    <row r="151" spans="14:14" x14ac:dyDescent="0.25">
      <c r="N151" s="167"/>
    </row>
    <row r="152" spans="14:14" x14ac:dyDescent="0.25">
      <c r="N152" s="167"/>
    </row>
    <row r="153" spans="14:14" x14ac:dyDescent="0.25">
      <c r="N153" s="167"/>
    </row>
    <row r="154" spans="14:14" x14ac:dyDescent="0.25">
      <c r="N154" s="167"/>
    </row>
  </sheetData>
  <mergeCells count="44">
    <mergeCell ref="O6:AK6"/>
    <mergeCell ref="AL6:AR7"/>
    <mergeCell ref="O7:U8"/>
    <mergeCell ref="AR8:AR10"/>
    <mergeCell ref="AM9:AM10"/>
    <mergeCell ref="AN9:AN10"/>
    <mergeCell ref="S9:S10"/>
    <mergeCell ref="AE7:AK7"/>
    <mergeCell ref="AP9:AP10"/>
    <mergeCell ref="AL8:AL10"/>
    <mergeCell ref="AM8:AP8"/>
    <mergeCell ref="AA7:AA10"/>
    <mergeCell ref="AO9:AO10"/>
    <mergeCell ref="O9:O10"/>
    <mergeCell ref="R9:R10"/>
    <mergeCell ref="T9:T10"/>
    <mergeCell ref="J9:J10"/>
    <mergeCell ref="K9:K10"/>
    <mergeCell ref="I6:N7"/>
    <mergeCell ref="J8:L8"/>
    <mergeCell ref="N8:N10"/>
    <mergeCell ref="I8:I10"/>
    <mergeCell ref="L9:L10"/>
    <mergeCell ref="M9:M10"/>
    <mergeCell ref="P9:P10"/>
    <mergeCell ref="Q9:Q10"/>
    <mergeCell ref="AH8:AH10"/>
    <mergeCell ref="AI8:AI10"/>
    <mergeCell ref="AJ8:AJ10"/>
    <mergeCell ref="V7:Y8"/>
    <mergeCell ref="V9:V10"/>
    <mergeCell ref="X9:X10"/>
    <mergeCell ref="Y9:Y10"/>
    <mergeCell ref="U9:U10"/>
    <mergeCell ref="W9:W10"/>
    <mergeCell ref="AQ9:AQ10"/>
    <mergeCell ref="AK8:AK10"/>
    <mergeCell ref="Z7:Z10"/>
    <mergeCell ref="AE8:AE10"/>
    <mergeCell ref="AF8:AF10"/>
    <mergeCell ref="AG8:AG10"/>
    <mergeCell ref="AB7:AB10"/>
    <mergeCell ref="AD7:AD10"/>
    <mergeCell ref="AC7:AC10"/>
  </mergeCells>
  <phoneticPr fontId="42" type="noConversion"/>
  <printOptions horizontalCentered="1"/>
  <pageMargins left="0.19685039370078741" right="0.19685039370078741" top="0.78740157480314965" bottom="0.78740157480314965" header="0.31496062992125984" footer="0.31496062992125984"/>
  <pageSetup paperSize="8" scale="63" fitToWidth="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AR167"/>
  <sheetViews>
    <sheetView zoomScaleNormal="100" workbookViewId="0">
      <pane xSplit="8" ySplit="11" topLeftCell="I23" activePane="bottomRight" state="frozen"/>
      <selection activeCell="I6" sqref="I6:AR10"/>
      <selection pane="topRight" activeCell="I6" sqref="I6:AR10"/>
      <selection pane="bottomLeft" activeCell="I6" sqref="I6:AR10"/>
      <selection pane="bottomRight" activeCell="I6" sqref="I6:AR10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9.28515625" customWidth="1"/>
    <col min="6" max="6" width="4.42578125" customWidth="1"/>
    <col min="7" max="7" width="10.28515625" customWidth="1"/>
    <col min="8" max="8" width="8" customWidth="1"/>
    <col min="9" max="9" width="12.28515625" style="7" customWidth="1"/>
    <col min="10" max="11" width="11.7109375" style="7" customWidth="1"/>
    <col min="12" max="13" width="11.42578125" style="7" customWidth="1"/>
    <col min="14" max="14" width="12.5703125" style="6" customWidth="1"/>
    <col min="15" max="17" width="10.28515625" style="7" customWidth="1"/>
    <col min="18" max="18" width="10.5703125" style="7" customWidth="1"/>
    <col min="19" max="19" width="12.140625" style="7" customWidth="1"/>
    <col min="20" max="25" width="10.28515625" style="7" customWidth="1"/>
    <col min="26" max="26" width="11" style="6" customWidth="1"/>
    <col min="27" max="27" width="9.28515625" style="6" customWidth="1"/>
    <col min="28" max="28" width="9.140625" style="7" customWidth="1"/>
    <col min="29" max="29" width="10.28515625" style="7" customWidth="1"/>
    <col min="30" max="30" width="9.7109375" style="7" customWidth="1"/>
    <col min="31" max="32" width="9.140625" style="6" customWidth="1"/>
    <col min="33" max="33" width="10.140625" style="6" customWidth="1"/>
    <col min="34" max="34" width="9.28515625" style="6" customWidth="1"/>
    <col min="35" max="35" width="10.5703125" style="6" customWidth="1"/>
    <col min="36" max="36" width="10.42578125" style="6" customWidth="1"/>
    <col min="37" max="37" width="9.28515625" style="6" customWidth="1"/>
    <col min="38" max="38" width="13.42578125" style="6" customWidth="1"/>
    <col min="39" max="42" width="10.85546875" style="6" customWidth="1"/>
    <col min="43" max="43" width="11.85546875" style="6" customWidth="1"/>
    <col min="44" max="44" width="11.28515625" style="6" customWidth="1"/>
    <col min="139" max="139" width="6.85546875" customWidth="1"/>
    <col min="140" max="140" width="35" customWidth="1"/>
    <col min="141" max="141" width="8" customWidth="1"/>
    <col min="142" max="142" width="31.85546875" customWidth="1"/>
    <col min="143" max="143" width="12" customWidth="1"/>
    <col min="144" max="144" width="11.5703125" customWidth="1"/>
    <col min="145" max="145" width="12" customWidth="1"/>
    <col min="146" max="146" width="11.140625" customWidth="1"/>
    <col min="147" max="148" width="10" customWidth="1"/>
    <col min="151" max="151" width="10.7109375" customWidth="1"/>
    <col min="395" max="395" width="6.85546875" customWidth="1"/>
    <col min="396" max="396" width="35" customWidth="1"/>
    <col min="397" max="397" width="8" customWidth="1"/>
    <col min="398" max="398" width="31.85546875" customWidth="1"/>
    <col min="399" max="399" width="12" customWidth="1"/>
    <col min="400" max="400" width="11.5703125" customWidth="1"/>
    <col min="401" max="401" width="12" customWidth="1"/>
    <col min="402" max="402" width="11.140625" customWidth="1"/>
    <col min="403" max="404" width="10" customWidth="1"/>
    <col min="407" max="407" width="10.7109375" customWidth="1"/>
    <col min="651" max="651" width="6.85546875" customWidth="1"/>
    <col min="652" max="652" width="35" customWidth="1"/>
    <col min="653" max="653" width="8" customWidth="1"/>
    <col min="654" max="654" width="31.85546875" customWidth="1"/>
    <col min="655" max="655" width="12" customWidth="1"/>
    <col min="656" max="656" width="11.5703125" customWidth="1"/>
    <col min="657" max="657" width="12" customWidth="1"/>
    <col min="658" max="658" width="11.140625" customWidth="1"/>
    <col min="659" max="660" width="10" customWidth="1"/>
    <col min="663" max="663" width="10.7109375" customWidth="1"/>
    <col min="907" max="907" width="6.85546875" customWidth="1"/>
    <col min="908" max="908" width="35" customWidth="1"/>
    <col min="909" max="909" width="8" customWidth="1"/>
    <col min="910" max="910" width="31.85546875" customWidth="1"/>
    <col min="911" max="911" width="12" customWidth="1"/>
    <col min="912" max="912" width="11.5703125" customWidth="1"/>
    <col min="913" max="913" width="12" customWidth="1"/>
    <col min="914" max="914" width="11.140625" customWidth="1"/>
    <col min="915" max="916" width="10" customWidth="1"/>
    <col min="919" max="919" width="10.7109375" customWidth="1"/>
    <col min="1163" max="1163" width="6.85546875" customWidth="1"/>
    <col min="1164" max="1164" width="35" customWidth="1"/>
    <col min="1165" max="1165" width="8" customWidth="1"/>
    <col min="1166" max="1166" width="31.85546875" customWidth="1"/>
    <col min="1167" max="1167" width="12" customWidth="1"/>
    <col min="1168" max="1168" width="11.5703125" customWidth="1"/>
    <col min="1169" max="1169" width="12" customWidth="1"/>
    <col min="1170" max="1170" width="11.140625" customWidth="1"/>
    <col min="1171" max="1172" width="10" customWidth="1"/>
    <col min="1175" max="1175" width="10.7109375" customWidth="1"/>
    <col min="1419" max="1419" width="6.85546875" customWidth="1"/>
    <col min="1420" max="1420" width="35" customWidth="1"/>
    <col min="1421" max="1421" width="8" customWidth="1"/>
    <col min="1422" max="1422" width="31.85546875" customWidth="1"/>
    <col min="1423" max="1423" width="12" customWidth="1"/>
    <col min="1424" max="1424" width="11.5703125" customWidth="1"/>
    <col min="1425" max="1425" width="12" customWidth="1"/>
    <col min="1426" max="1426" width="11.140625" customWidth="1"/>
    <col min="1427" max="1428" width="10" customWidth="1"/>
    <col min="1431" max="1431" width="10.7109375" customWidth="1"/>
    <col min="1675" max="1675" width="6.85546875" customWidth="1"/>
    <col min="1676" max="1676" width="35" customWidth="1"/>
    <col min="1677" max="1677" width="8" customWidth="1"/>
    <col min="1678" max="1678" width="31.85546875" customWidth="1"/>
    <col min="1679" max="1679" width="12" customWidth="1"/>
    <col min="1680" max="1680" width="11.5703125" customWidth="1"/>
    <col min="1681" max="1681" width="12" customWidth="1"/>
    <col min="1682" max="1682" width="11.140625" customWidth="1"/>
    <col min="1683" max="1684" width="10" customWidth="1"/>
    <col min="1687" max="1687" width="10.7109375" customWidth="1"/>
    <col min="1931" max="1931" width="6.85546875" customWidth="1"/>
    <col min="1932" max="1932" width="35" customWidth="1"/>
    <col min="1933" max="1933" width="8" customWidth="1"/>
    <col min="1934" max="1934" width="31.85546875" customWidth="1"/>
    <col min="1935" max="1935" width="12" customWidth="1"/>
    <col min="1936" max="1936" width="11.5703125" customWidth="1"/>
    <col min="1937" max="1937" width="12" customWidth="1"/>
    <col min="1938" max="1938" width="11.140625" customWidth="1"/>
    <col min="1939" max="1940" width="10" customWidth="1"/>
    <col min="1943" max="1943" width="10.7109375" customWidth="1"/>
    <col min="2187" max="2187" width="6.85546875" customWidth="1"/>
    <col min="2188" max="2188" width="35" customWidth="1"/>
    <col min="2189" max="2189" width="8" customWidth="1"/>
    <col min="2190" max="2190" width="31.85546875" customWidth="1"/>
    <col min="2191" max="2191" width="12" customWidth="1"/>
    <col min="2192" max="2192" width="11.5703125" customWidth="1"/>
    <col min="2193" max="2193" width="12" customWidth="1"/>
    <col min="2194" max="2194" width="11.140625" customWidth="1"/>
    <col min="2195" max="2196" width="10" customWidth="1"/>
    <col min="2199" max="2199" width="10.7109375" customWidth="1"/>
    <col min="2443" max="2443" width="6.85546875" customWidth="1"/>
    <col min="2444" max="2444" width="35" customWidth="1"/>
    <col min="2445" max="2445" width="8" customWidth="1"/>
    <col min="2446" max="2446" width="31.85546875" customWidth="1"/>
    <col min="2447" max="2447" width="12" customWidth="1"/>
    <col min="2448" max="2448" width="11.5703125" customWidth="1"/>
    <col min="2449" max="2449" width="12" customWidth="1"/>
    <col min="2450" max="2450" width="11.140625" customWidth="1"/>
    <col min="2451" max="2452" width="10" customWidth="1"/>
    <col min="2455" max="2455" width="10.7109375" customWidth="1"/>
    <col min="2699" max="2699" width="6.85546875" customWidth="1"/>
    <col min="2700" max="2700" width="35" customWidth="1"/>
    <col min="2701" max="2701" width="8" customWidth="1"/>
    <col min="2702" max="2702" width="31.85546875" customWidth="1"/>
    <col min="2703" max="2703" width="12" customWidth="1"/>
    <col min="2704" max="2704" width="11.5703125" customWidth="1"/>
    <col min="2705" max="2705" width="12" customWidth="1"/>
    <col min="2706" max="2706" width="11.140625" customWidth="1"/>
    <col min="2707" max="2708" width="10" customWidth="1"/>
    <col min="2711" max="2711" width="10.7109375" customWidth="1"/>
    <col min="2955" max="2955" width="6.85546875" customWidth="1"/>
    <col min="2956" max="2956" width="35" customWidth="1"/>
    <col min="2957" max="2957" width="8" customWidth="1"/>
    <col min="2958" max="2958" width="31.85546875" customWidth="1"/>
    <col min="2959" max="2959" width="12" customWidth="1"/>
    <col min="2960" max="2960" width="11.5703125" customWidth="1"/>
    <col min="2961" max="2961" width="12" customWidth="1"/>
    <col min="2962" max="2962" width="11.140625" customWidth="1"/>
    <col min="2963" max="2964" width="10" customWidth="1"/>
    <col min="2967" max="2967" width="10.7109375" customWidth="1"/>
    <col min="3211" max="3211" width="6.85546875" customWidth="1"/>
    <col min="3212" max="3212" width="35" customWidth="1"/>
    <col min="3213" max="3213" width="8" customWidth="1"/>
    <col min="3214" max="3214" width="31.85546875" customWidth="1"/>
    <col min="3215" max="3215" width="12" customWidth="1"/>
    <col min="3216" max="3216" width="11.5703125" customWidth="1"/>
    <col min="3217" max="3217" width="12" customWidth="1"/>
    <col min="3218" max="3218" width="11.140625" customWidth="1"/>
    <col min="3219" max="3220" width="10" customWidth="1"/>
    <col min="3223" max="3223" width="10.7109375" customWidth="1"/>
    <col min="3467" max="3467" width="6.85546875" customWidth="1"/>
    <col min="3468" max="3468" width="35" customWidth="1"/>
    <col min="3469" max="3469" width="8" customWidth="1"/>
    <col min="3470" max="3470" width="31.85546875" customWidth="1"/>
    <col min="3471" max="3471" width="12" customWidth="1"/>
    <col min="3472" max="3472" width="11.5703125" customWidth="1"/>
    <col min="3473" max="3473" width="12" customWidth="1"/>
    <col min="3474" max="3474" width="11.140625" customWidth="1"/>
    <col min="3475" max="3476" width="10" customWidth="1"/>
    <col min="3479" max="3479" width="10.7109375" customWidth="1"/>
    <col min="3723" max="3723" width="6.85546875" customWidth="1"/>
    <col min="3724" max="3724" width="35" customWidth="1"/>
    <col min="3725" max="3725" width="8" customWidth="1"/>
    <col min="3726" max="3726" width="31.85546875" customWidth="1"/>
    <col min="3727" max="3727" width="12" customWidth="1"/>
    <col min="3728" max="3728" width="11.5703125" customWidth="1"/>
    <col min="3729" max="3729" width="12" customWidth="1"/>
    <col min="3730" max="3730" width="11.140625" customWidth="1"/>
    <col min="3731" max="3732" width="10" customWidth="1"/>
    <col min="3735" max="3735" width="10.7109375" customWidth="1"/>
    <col min="3979" max="3979" width="6.85546875" customWidth="1"/>
    <col min="3980" max="3980" width="35" customWidth="1"/>
    <col min="3981" max="3981" width="8" customWidth="1"/>
    <col min="3982" max="3982" width="31.85546875" customWidth="1"/>
    <col min="3983" max="3983" width="12" customWidth="1"/>
    <col min="3984" max="3984" width="11.5703125" customWidth="1"/>
    <col min="3985" max="3985" width="12" customWidth="1"/>
    <col min="3986" max="3986" width="11.140625" customWidth="1"/>
    <col min="3987" max="3988" width="10" customWidth="1"/>
    <col min="3991" max="3991" width="10.7109375" customWidth="1"/>
    <col min="4235" max="4235" width="6.85546875" customWidth="1"/>
    <col min="4236" max="4236" width="35" customWidth="1"/>
    <col min="4237" max="4237" width="8" customWidth="1"/>
    <col min="4238" max="4238" width="31.85546875" customWidth="1"/>
    <col min="4239" max="4239" width="12" customWidth="1"/>
    <col min="4240" max="4240" width="11.5703125" customWidth="1"/>
    <col min="4241" max="4241" width="12" customWidth="1"/>
    <col min="4242" max="4242" width="11.140625" customWidth="1"/>
    <col min="4243" max="4244" width="10" customWidth="1"/>
    <col min="4247" max="4247" width="10.7109375" customWidth="1"/>
    <col min="4491" max="4491" width="6.85546875" customWidth="1"/>
    <col min="4492" max="4492" width="35" customWidth="1"/>
    <col min="4493" max="4493" width="8" customWidth="1"/>
    <col min="4494" max="4494" width="31.85546875" customWidth="1"/>
    <col min="4495" max="4495" width="12" customWidth="1"/>
    <col min="4496" max="4496" width="11.5703125" customWidth="1"/>
    <col min="4497" max="4497" width="12" customWidth="1"/>
    <col min="4498" max="4498" width="11.140625" customWidth="1"/>
    <col min="4499" max="4500" width="10" customWidth="1"/>
    <col min="4503" max="4503" width="10.7109375" customWidth="1"/>
    <col min="4747" max="4747" width="6.85546875" customWidth="1"/>
    <col min="4748" max="4748" width="35" customWidth="1"/>
    <col min="4749" max="4749" width="8" customWidth="1"/>
    <col min="4750" max="4750" width="31.85546875" customWidth="1"/>
    <col min="4751" max="4751" width="12" customWidth="1"/>
    <col min="4752" max="4752" width="11.5703125" customWidth="1"/>
    <col min="4753" max="4753" width="12" customWidth="1"/>
    <col min="4754" max="4754" width="11.140625" customWidth="1"/>
    <col min="4755" max="4756" width="10" customWidth="1"/>
    <col min="4759" max="4759" width="10.7109375" customWidth="1"/>
    <col min="5003" max="5003" width="6.85546875" customWidth="1"/>
    <col min="5004" max="5004" width="35" customWidth="1"/>
    <col min="5005" max="5005" width="8" customWidth="1"/>
    <col min="5006" max="5006" width="31.85546875" customWidth="1"/>
    <col min="5007" max="5007" width="12" customWidth="1"/>
    <col min="5008" max="5008" width="11.5703125" customWidth="1"/>
    <col min="5009" max="5009" width="12" customWidth="1"/>
    <col min="5010" max="5010" width="11.140625" customWidth="1"/>
    <col min="5011" max="5012" width="10" customWidth="1"/>
    <col min="5015" max="5015" width="10.7109375" customWidth="1"/>
    <col min="5259" max="5259" width="6.85546875" customWidth="1"/>
    <col min="5260" max="5260" width="35" customWidth="1"/>
    <col min="5261" max="5261" width="8" customWidth="1"/>
    <col min="5262" max="5262" width="31.85546875" customWidth="1"/>
    <col min="5263" max="5263" width="12" customWidth="1"/>
    <col min="5264" max="5264" width="11.5703125" customWidth="1"/>
    <col min="5265" max="5265" width="12" customWidth="1"/>
    <col min="5266" max="5266" width="11.140625" customWidth="1"/>
    <col min="5267" max="5268" width="10" customWidth="1"/>
    <col min="5271" max="5271" width="10.7109375" customWidth="1"/>
    <col min="5515" max="5515" width="6.85546875" customWidth="1"/>
    <col min="5516" max="5516" width="35" customWidth="1"/>
    <col min="5517" max="5517" width="8" customWidth="1"/>
    <col min="5518" max="5518" width="31.85546875" customWidth="1"/>
    <col min="5519" max="5519" width="12" customWidth="1"/>
    <col min="5520" max="5520" width="11.5703125" customWidth="1"/>
    <col min="5521" max="5521" width="12" customWidth="1"/>
    <col min="5522" max="5522" width="11.140625" customWidth="1"/>
    <col min="5523" max="5524" width="10" customWidth="1"/>
    <col min="5527" max="5527" width="10.7109375" customWidth="1"/>
    <col min="5771" max="5771" width="6.85546875" customWidth="1"/>
    <col min="5772" max="5772" width="35" customWidth="1"/>
    <col min="5773" max="5773" width="8" customWidth="1"/>
    <col min="5774" max="5774" width="31.85546875" customWidth="1"/>
    <col min="5775" max="5775" width="12" customWidth="1"/>
    <col min="5776" max="5776" width="11.5703125" customWidth="1"/>
    <col min="5777" max="5777" width="12" customWidth="1"/>
    <col min="5778" max="5778" width="11.140625" customWidth="1"/>
    <col min="5779" max="5780" width="10" customWidth="1"/>
    <col min="5783" max="5783" width="10.7109375" customWidth="1"/>
    <col min="6027" max="6027" width="6.85546875" customWidth="1"/>
    <col min="6028" max="6028" width="35" customWidth="1"/>
    <col min="6029" max="6029" width="8" customWidth="1"/>
    <col min="6030" max="6030" width="31.85546875" customWidth="1"/>
    <col min="6031" max="6031" width="12" customWidth="1"/>
    <col min="6032" max="6032" width="11.5703125" customWidth="1"/>
    <col min="6033" max="6033" width="12" customWidth="1"/>
    <col min="6034" max="6034" width="11.140625" customWidth="1"/>
    <col min="6035" max="6036" width="10" customWidth="1"/>
    <col min="6039" max="6039" width="10.7109375" customWidth="1"/>
    <col min="6283" max="6283" width="6.85546875" customWidth="1"/>
    <col min="6284" max="6284" width="35" customWidth="1"/>
    <col min="6285" max="6285" width="8" customWidth="1"/>
    <col min="6286" max="6286" width="31.85546875" customWidth="1"/>
    <col min="6287" max="6287" width="12" customWidth="1"/>
    <col min="6288" max="6288" width="11.5703125" customWidth="1"/>
    <col min="6289" max="6289" width="12" customWidth="1"/>
    <col min="6290" max="6290" width="11.140625" customWidth="1"/>
    <col min="6291" max="6292" width="10" customWidth="1"/>
    <col min="6295" max="6295" width="10.7109375" customWidth="1"/>
    <col min="6539" max="6539" width="6.85546875" customWidth="1"/>
    <col min="6540" max="6540" width="35" customWidth="1"/>
    <col min="6541" max="6541" width="8" customWidth="1"/>
    <col min="6542" max="6542" width="31.85546875" customWidth="1"/>
    <col min="6543" max="6543" width="12" customWidth="1"/>
    <col min="6544" max="6544" width="11.5703125" customWidth="1"/>
    <col min="6545" max="6545" width="12" customWidth="1"/>
    <col min="6546" max="6546" width="11.140625" customWidth="1"/>
    <col min="6547" max="6548" width="10" customWidth="1"/>
    <col min="6551" max="6551" width="10.7109375" customWidth="1"/>
    <col min="6795" max="6795" width="6.85546875" customWidth="1"/>
    <col min="6796" max="6796" width="35" customWidth="1"/>
    <col min="6797" max="6797" width="8" customWidth="1"/>
    <col min="6798" max="6798" width="31.85546875" customWidth="1"/>
    <col min="6799" max="6799" width="12" customWidth="1"/>
    <col min="6800" max="6800" width="11.5703125" customWidth="1"/>
    <col min="6801" max="6801" width="12" customWidth="1"/>
    <col min="6802" max="6802" width="11.140625" customWidth="1"/>
    <col min="6803" max="6804" width="10" customWidth="1"/>
    <col min="6807" max="6807" width="10.7109375" customWidth="1"/>
    <col min="7051" max="7051" width="6.85546875" customWidth="1"/>
    <col min="7052" max="7052" width="35" customWidth="1"/>
    <col min="7053" max="7053" width="8" customWidth="1"/>
    <col min="7054" max="7054" width="31.85546875" customWidth="1"/>
    <col min="7055" max="7055" width="12" customWidth="1"/>
    <col min="7056" max="7056" width="11.5703125" customWidth="1"/>
    <col min="7057" max="7057" width="12" customWidth="1"/>
    <col min="7058" max="7058" width="11.140625" customWidth="1"/>
    <col min="7059" max="7060" width="10" customWidth="1"/>
    <col min="7063" max="7063" width="10.7109375" customWidth="1"/>
    <col min="7307" max="7307" width="6.85546875" customWidth="1"/>
    <col min="7308" max="7308" width="35" customWidth="1"/>
    <col min="7309" max="7309" width="8" customWidth="1"/>
    <col min="7310" max="7310" width="31.85546875" customWidth="1"/>
    <col min="7311" max="7311" width="12" customWidth="1"/>
    <col min="7312" max="7312" width="11.5703125" customWidth="1"/>
    <col min="7313" max="7313" width="12" customWidth="1"/>
    <col min="7314" max="7314" width="11.140625" customWidth="1"/>
    <col min="7315" max="7316" width="10" customWidth="1"/>
    <col min="7319" max="7319" width="10.7109375" customWidth="1"/>
    <col min="7563" max="7563" width="6.85546875" customWidth="1"/>
    <col min="7564" max="7564" width="35" customWidth="1"/>
    <col min="7565" max="7565" width="8" customWidth="1"/>
    <col min="7566" max="7566" width="31.85546875" customWidth="1"/>
    <col min="7567" max="7567" width="12" customWidth="1"/>
    <col min="7568" max="7568" width="11.5703125" customWidth="1"/>
    <col min="7569" max="7569" width="12" customWidth="1"/>
    <col min="7570" max="7570" width="11.140625" customWidth="1"/>
    <col min="7571" max="7572" width="10" customWidth="1"/>
    <col min="7575" max="7575" width="10.7109375" customWidth="1"/>
    <col min="7819" max="7819" width="6.85546875" customWidth="1"/>
    <col min="7820" max="7820" width="35" customWidth="1"/>
    <col min="7821" max="7821" width="8" customWidth="1"/>
    <col min="7822" max="7822" width="31.85546875" customWidth="1"/>
    <col min="7823" max="7823" width="12" customWidth="1"/>
    <col min="7824" max="7824" width="11.5703125" customWidth="1"/>
    <col min="7825" max="7825" width="12" customWidth="1"/>
    <col min="7826" max="7826" width="11.140625" customWidth="1"/>
    <col min="7827" max="7828" width="10" customWidth="1"/>
    <col min="7831" max="7831" width="10.7109375" customWidth="1"/>
    <col min="8075" max="8075" width="6.85546875" customWidth="1"/>
    <col min="8076" max="8076" width="35" customWidth="1"/>
    <col min="8077" max="8077" width="8" customWidth="1"/>
    <col min="8078" max="8078" width="31.85546875" customWidth="1"/>
    <col min="8079" max="8079" width="12" customWidth="1"/>
    <col min="8080" max="8080" width="11.5703125" customWidth="1"/>
    <col min="8081" max="8081" width="12" customWidth="1"/>
    <col min="8082" max="8082" width="11.140625" customWidth="1"/>
    <col min="8083" max="8084" width="10" customWidth="1"/>
    <col min="8087" max="8087" width="10.7109375" customWidth="1"/>
    <col min="8331" max="8331" width="6.85546875" customWidth="1"/>
    <col min="8332" max="8332" width="35" customWidth="1"/>
    <col min="8333" max="8333" width="8" customWidth="1"/>
    <col min="8334" max="8334" width="31.85546875" customWidth="1"/>
    <col min="8335" max="8335" width="12" customWidth="1"/>
    <col min="8336" max="8336" width="11.5703125" customWidth="1"/>
    <col min="8337" max="8337" width="12" customWidth="1"/>
    <col min="8338" max="8338" width="11.140625" customWidth="1"/>
    <col min="8339" max="8340" width="10" customWidth="1"/>
    <col min="8343" max="8343" width="10.7109375" customWidth="1"/>
    <col min="8587" max="8587" width="6.85546875" customWidth="1"/>
    <col min="8588" max="8588" width="35" customWidth="1"/>
    <col min="8589" max="8589" width="8" customWidth="1"/>
    <col min="8590" max="8590" width="31.85546875" customWidth="1"/>
    <col min="8591" max="8591" width="12" customWidth="1"/>
    <col min="8592" max="8592" width="11.5703125" customWidth="1"/>
    <col min="8593" max="8593" width="12" customWidth="1"/>
    <col min="8594" max="8594" width="11.140625" customWidth="1"/>
    <col min="8595" max="8596" width="10" customWidth="1"/>
    <col min="8599" max="8599" width="10.7109375" customWidth="1"/>
    <col min="8843" max="8843" width="6.85546875" customWidth="1"/>
    <col min="8844" max="8844" width="35" customWidth="1"/>
    <col min="8845" max="8845" width="8" customWidth="1"/>
    <col min="8846" max="8846" width="31.85546875" customWidth="1"/>
    <col min="8847" max="8847" width="12" customWidth="1"/>
    <col min="8848" max="8848" width="11.5703125" customWidth="1"/>
    <col min="8849" max="8849" width="12" customWidth="1"/>
    <col min="8850" max="8850" width="11.140625" customWidth="1"/>
    <col min="8851" max="8852" width="10" customWidth="1"/>
    <col min="8855" max="8855" width="10.7109375" customWidth="1"/>
    <col min="9099" max="9099" width="6.85546875" customWidth="1"/>
    <col min="9100" max="9100" width="35" customWidth="1"/>
    <col min="9101" max="9101" width="8" customWidth="1"/>
    <col min="9102" max="9102" width="31.85546875" customWidth="1"/>
    <col min="9103" max="9103" width="12" customWidth="1"/>
    <col min="9104" max="9104" width="11.5703125" customWidth="1"/>
    <col min="9105" max="9105" width="12" customWidth="1"/>
    <col min="9106" max="9106" width="11.140625" customWidth="1"/>
    <col min="9107" max="9108" width="10" customWidth="1"/>
    <col min="9111" max="9111" width="10.7109375" customWidth="1"/>
    <col min="9355" max="9355" width="6.85546875" customWidth="1"/>
    <col min="9356" max="9356" width="35" customWidth="1"/>
    <col min="9357" max="9357" width="8" customWidth="1"/>
    <col min="9358" max="9358" width="31.85546875" customWidth="1"/>
    <col min="9359" max="9359" width="12" customWidth="1"/>
    <col min="9360" max="9360" width="11.5703125" customWidth="1"/>
    <col min="9361" max="9361" width="12" customWidth="1"/>
    <col min="9362" max="9362" width="11.140625" customWidth="1"/>
    <col min="9363" max="9364" width="10" customWidth="1"/>
    <col min="9367" max="9367" width="10.7109375" customWidth="1"/>
    <col min="9611" max="9611" width="6.85546875" customWidth="1"/>
    <col min="9612" max="9612" width="35" customWidth="1"/>
    <col min="9613" max="9613" width="8" customWidth="1"/>
    <col min="9614" max="9614" width="31.85546875" customWidth="1"/>
    <col min="9615" max="9615" width="12" customWidth="1"/>
    <col min="9616" max="9616" width="11.5703125" customWidth="1"/>
    <col min="9617" max="9617" width="12" customWidth="1"/>
    <col min="9618" max="9618" width="11.140625" customWidth="1"/>
    <col min="9619" max="9620" width="10" customWidth="1"/>
    <col min="9623" max="9623" width="10.7109375" customWidth="1"/>
    <col min="9867" max="9867" width="6.85546875" customWidth="1"/>
    <col min="9868" max="9868" width="35" customWidth="1"/>
    <col min="9869" max="9869" width="8" customWidth="1"/>
    <col min="9870" max="9870" width="31.85546875" customWidth="1"/>
    <col min="9871" max="9871" width="12" customWidth="1"/>
    <col min="9872" max="9872" width="11.5703125" customWidth="1"/>
    <col min="9873" max="9873" width="12" customWidth="1"/>
    <col min="9874" max="9874" width="11.140625" customWidth="1"/>
    <col min="9875" max="9876" width="10" customWidth="1"/>
    <col min="9879" max="9879" width="10.7109375" customWidth="1"/>
    <col min="10123" max="10123" width="6.85546875" customWidth="1"/>
    <col min="10124" max="10124" width="35" customWidth="1"/>
    <col min="10125" max="10125" width="8" customWidth="1"/>
    <col min="10126" max="10126" width="31.85546875" customWidth="1"/>
    <col min="10127" max="10127" width="12" customWidth="1"/>
    <col min="10128" max="10128" width="11.5703125" customWidth="1"/>
    <col min="10129" max="10129" width="12" customWidth="1"/>
    <col min="10130" max="10130" width="11.140625" customWidth="1"/>
    <col min="10131" max="10132" width="10" customWidth="1"/>
    <col min="10135" max="10135" width="10.7109375" customWidth="1"/>
    <col min="10379" max="10379" width="6.85546875" customWidth="1"/>
    <col min="10380" max="10380" width="35" customWidth="1"/>
    <col min="10381" max="10381" width="8" customWidth="1"/>
    <col min="10382" max="10382" width="31.85546875" customWidth="1"/>
    <col min="10383" max="10383" width="12" customWidth="1"/>
    <col min="10384" max="10384" width="11.5703125" customWidth="1"/>
    <col min="10385" max="10385" width="12" customWidth="1"/>
    <col min="10386" max="10386" width="11.140625" customWidth="1"/>
    <col min="10387" max="10388" width="10" customWidth="1"/>
    <col min="10391" max="10391" width="10.7109375" customWidth="1"/>
    <col min="10635" max="10635" width="6.85546875" customWidth="1"/>
    <col min="10636" max="10636" width="35" customWidth="1"/>
    <col min="10637" max="10637" width="8" customWidth="1"/>
    <col min="10638" max="10638" width="31.85546875" customWidth="1"/>
    <col min="10639" max="10639" width="12" customWidth="1"/>
    <col min="10640" max="10640" width="11.5703125" customWidth="1"/>
    <col min="10641" max="10641" width="12" customWidth="1"/>
    <col min="10642" max="10642" width="11.140625" customWidth="1"/>
    <col min="10643" max="10644" width="10" customWidth="1"/>
    <col min="10647" max="10647" width="10.7109375" customWidth="1"/>
    <col min="10891" max="10891" width="6.85546875" customWidth="1"/>
    <col min="10892" max="10892" width="35" customWidth="1"/>
    <col min="10893" max="10893" width="8" customWidth="1"/>
    <col min="10894" max="10894" width="31.85546875" customWidth="1"/>
    <col min="10895" max="10895" width="12" customWidth="1"/>
    <col min="10896" max="10896" width="11.5703125" customWidth="1"/>
    <col min="10897" max="10897" width="12" customWidth="1"/>
    <col min="10898" max="10898" width="11.140625" customWidth="1"/>
    <col min="10899" max="10900" width="10" customWidth="1"/>
    <col min="10903" max="10903" width="10.7109375" customWidth="1"/>
    <col min="11147" max="11147" width="6.85546875" customWidth="1"/>
    <col min="11148" max="11148" width="35" customWidth="1"/>
    <col min="11149" max="11149" width="8" customWidth="1"/>
    <col min="11150" max="11150" width="31.85546875" customWidth="1"/>
    <col min="11151" max="11151" width="12" customWidth="1"/>
    <col min="11152" max="11152" width="11.5703125" customWidth="1"/>
    <col min="11153" max="11153" width="12" customWidth="1"/>
    <col min="11154" max="11154" width="11.140625" customWidth="1"/>
    <col min="11155" max="11156" width="10" customWidth="1"/>
    <col min="11159" max="11159" width="10.7109375" customWidth="1"/>
    <col min="11403" max="11403" width="6.85546875" customWidth="1"/>
    <col min="11404" max="11404" width="35" customWidth="1"/>
    <col min="11405" max="11405" width="8" customWidth="1"/>
    <col min="11406" max="11406" width="31.85546875" customWidth="1"/>
    <col min="11407" max="11407" width="12" customWidth="1"/>
    <col min="11408" max="11408" width="11.5703125" customWidth="1"/>
    <col min="11409" max="11409" width="12" customWidth="1"/>
    <col min="11410" max="11410" width="11.140625" customWidth="1"/>
    <col min="11411" max="11412" width="10" customWidth="1"/>
    <col min="11415" max="11415" width="10.7109375" customWidth="1"/>
    <col min="11659" max="11659" width="6.85546875" customWidth="1"/>
    <col min="11660" max="11660" width="35" customWidth="1"/>
    <col min="11661" max="11661" width="8" customWidth="1"/>
    <col min="11662" max="11662" width="31.85546875" customWidth="1"/>
    <col min="11663" max="11663" width="12" customWidth="1"/>
    <col min="11664" max="11664" width="11.5703125" customWidth="1"/>
    <col min="11665" max="11665" width="12" customWidth="1"/>
    <col min="11666" max="11666" width="11.140625" customWidth="1"/>
    <col min="11667" max="11668" width="10" customWidth="1"/>
    <col min="11671" max="11671" width="10.7109375" customWidth="1"/>
    <col min="11915" max="11915" width="6.85546875" customWidth="1"/>
    <col min="11916" max="11916" width="35" customWidth="1"/>
    <col min="11917" max="11917" width="8" customWidth="1"/>
    <col min="11918" max="11918" width="31.85546875" customWidth="1"/>
    <col min="11919" max="11919" width="12" customWidth="1"/>
    <col min="11920" max="11920" width="11.5703125" customWidth="1"/>
    <col min="11921" max="11921" width="12" customWidth="1"/>
    <col min="11922" max="11922" width="11.140625" customWidth="1"/>
    <col min="11923" max="11924" width="10" customWidth="1"/>
    <col min="11927" max="11927" width="10.7109375" customWidth="1"/>
    <col min="12171" max="12171" width="6.85546875" customWidth="1"/>
    <col min="12172" max="12172" width="35" customWidth="1"/>
    <col min="12173" max="12173" width="8" customWidth="1"/>
    <col min="12174" max="12174" width="31.85546875" customWidth="1"/>
    <col min="12175" max="12175" width="12" customWidth="1"/>
    <col min="12176" max="12176" width="11.5703125" customWidth="1"/>
    <col min="12177" max="12177" width="12" customWidth="1"/>
    <col min="12178" max="12178" width="11.140625" customWidth="1"/>
    <col min="12179" max="12180" width="10" customWidth="1"/>
    <col min="12183" max="12183" width="10.7109375" customWidth="1"/>
    <col min="12427" max="12427" width="6.85546875" customWidth="1"/>
    <col min="12428" max="12428" width="35" customWidth="1"/>
    <col min="12429" max="12429" width="8" customWidth="1"/>
    <col min="12430" max="12430" width="31.85546875" customWidth="1"/>
    <col min="12431" max="12431" width="12" customWidth="1"/>
    <col min="12432" max="12432" width="11.5703125" customWidth="1"/>
    <col min="12433" max="12433" width="12" customWidth="1"/>
    <col min="12434" max="12434" width="11.140625" customWidth="1"/>
    <col min="12435" max="12436" width="10" customWidth="1"/>
    <col min="12439" max="12439" width="10.7109375" customWidth="1"/>
    <col min="12683" max="12683" width="6.85546875" customWidth="1"/>
    <col min="12684" max="12684" width="35" customWidth="1"/>
    <col min="12685" max="12685" width="8" customWidth="1"/>
    <col min="12686" max="12686" width="31.85546875" customWidth="1"/>
    <col min="12687" max="12687" width="12" customWidth="1"/>
    <col min="12688" max="12688" width="11.5703125" customWidth="1"/>
    <col min="12689" max="12689" width="12" customWidth="1"/>
    <col min="12690" max="12690" width="11.140625" customWidth="1"/>
    <col min="12691" max="12692" width="10" customWidth="1"/>
    <col min="12695" max="12695" width="10.7109375" customWidth="1"/>
    <col min="12939" max="12939" width="6.85546875" customWidth="1"/>
    <col min="12940" max="12940" width="35" customWidth="1"/>
    <col min="12941" max="12941" width="8" customWidth="1"/>
    <col min="12942" max="12942" width="31.85546875" customWidth="1"/>
    <col min="12943" max="12943" width="12" customWidth="1"/>
    <col min="12944" max="12944" width="11.5703125" customWidth="1"/>
    <col min="12945" max="12945" width="12" customWidth="1"/>
    <col min="12946" max="12946" width="11.140625" customWidth="1"/>
    <col min="12947" max="12948" width="10" customWidth="1"/>
    <col min="12951" max="12951" width="10.7109375" customWidth="1"/>
    <col min="13195" max="13195" width="6.85546875" customWidth="1"/>
    <col min="13196" max="13196" width="35" customWidth="1"/>
    <col min="13197" max="13197" width="8" customWidth="1"/>
    <col min="13198" max="13198" width="31.85546875" customWidth="1"/>
    <col min="13199" max="13199" width="12" customWidth="1"/>
    <col min="13200" max="13200" width="11.5703125" customWidth="1"/>
    <col min="13201" max="13201" width="12" customWidth="1"/>
    <col min="13202" max="13202" width="11.140625" customWidth="1"/>
    <col min="13203" max="13204" width="10" customWidth="1"/>
    <col min="13207" max="13207" width="10.7109375" customWidth="1"/>
    <col min="13451" max="13451" width="6.85546875" customWidth="1"/>
    <col min="13452" max="13452" width="35" customWidth="1"/>
    <col min="13453" max="13453" width="8" customWidth="1"/>
    <col min="13454" max="13454" width="31.85546875" customWidth="1"/>
    <col min="13455" max="13455" width="12" customWidth="1"/>
    <col min="13456" max="13456" width="11.5703125" customWidth="1"/>
    <col min="13457" max="13457" width="12" customWidth="1"/>
    <col min="13458" max="13458" width="11.140625" customWidth="1"/>
    <col min="13459" max="13460" width="10" customWidth="1"/>
    <col min="13463" max="13463" width="10.7109375" customWidth="1"/>
    <col min="13707" max="13707" width="6.85546875" customWidth="1"/>
    <col min="13708" max="13708" width="35" customWidth="1"/>
    <col min="13709" max="13709" width="8" customWidth="1"/>
    <col min="13710" max="13710" width="31.85546875" customWidth="1"/>
    <col min="13711" max="13711" width="12" customWidth="1"/>
    <col min="13712" max="13712" width="11.5703125" customWidth="1"/>
    <col min="13713" max="13713" width="12" customWidth="1"/>
    <col min="13714" max="13714" width="11.140625" customWidth="1"/>
    <col min="13715" max="13716" width="10" customWidth="1"/>
    <col min="13719" max="13719" width="10.7109375" customWidth="1"/>
    <col min="13963" max="13963" width="6.85546875" customWidth="1"/>
    <col min="13964" max="13964" width="35" customWidth="1"/>
    <col min="13965" max="13965" width="8" customWidth="1"/>
    <col min="13966" max="13966" width="31.85546875" customWidth="1"/>
    <col min="13967" max="13967" width="12" customWidth="1"/>
    <col min="13968" max="13968" width="11.5703125" customWidth="1"/>
    <col min="13969" max="13969" width="12" customWidth="1"/>
    <col min="13970" max="13970" width="11.140625" customWidth="1"/>
    <col min="13971" max="13972" width="10" customWidth="1"/>
    <col min="13975" max="13975" width="10.7109375" customWidth="1"/>
    <col min="14219" max="14219" width="6.85546875" customWidth="1"/>
    <col min="14220" max="14220" width="35" customWidth="1"/>
    <col min="14221" max="14221" width="8" customWidth="1"/>
    <col min="14222" max="14222" width="31.85546875" customWidth="1"/>
    <col min="14223" max="14223" width="12" customWidth="1"/>
    <col min="14224" max="14224" width="11.5703125" customWidth="1"/>
    <col min="14225" max="14225" width="12" customWidth="1"/>
    <col min="14226" max="14226" width="11.140625" customWidth="1"/>
    <col min="14227" max="14228" width="10" customWidth="1"/>
    <col min="14231" max="14231" width="10.7109375" customWidth="1"/>
    <col min="14475" max="14475" width="6.85546875" customWidth="1"/>
    <col min="14476" max="14476" width="35" customWidth="1"/>
    <col min="14477" max="14477" width="8" customWidth="1"/>
    <col min="14478" max="14478" width="31.85546875" customWidth="1"/>
    <col min="14479" max="14479" width="12" customWidth="1"/>
    <col min="14480" max="14480" width="11.5703125" customWidth="1"/>
    <col min="14481" max="14481" width="12" customWidth="1"/>
    <col min="14482" max="14482" width="11.140625" customWidth="1"/>
    <col min="14483" max="14484" width="10" customWidth="1"/>
    <col min="14487" max="14487" width="10.7109375" customWidth="1"/>
    <col min="14731" max="14731" width="6.85546875" customWidth="1"/>
    <col min="14732" max="14732" width="35" customWidth="1"/>
    <col min="14733" max="14733" width="8" customWidth="1"/>
    <col min="14734" max="14734" width="31.85546875" customWidth="1"/>
    <col min="14735" max="14735" width="12" customWidth="1"/>
    <col min="14736" max="14736" width="11.5703125" customWidth="1"/>
    <col min="14737" max="14737" width="12" customWidth="1"/>
    <col min="14738" max="14738" width="11.140625" customWidth="1"/>
    <col min="14739" max="14740" width="10" customWidth="1"/>
    <col min="14743" max="14743" width="10.7109375" customWidth="1"/>
    <col min="14987" max="14987" width="6.85546875" customWidth="1"/>
    <col min="14988" max="14988" width="35" customWidth="1"/>
    <col min="14989" max="14989" width="8" customWidth="1"/>
    <col min="14990" max="14990" width="31.85546875" customWidth="1"/>
    <col min="14991" max="14991" width="12" customWidth="1"/>
    <col min="14992" max="14992" width="11.5703125" customWidth="1"/>
    <col min="14993" max="14993" width="12" customWidth="1"/>
    <col min="14994" max="14994" width="11.140625" customWidth="1"/>
    <col min="14995" max="14996" width="10" customWidth="1"/>
    <col min="14999" max="14999" width="10.7109375" customWidth="1"/>
    <col min="15243" max="15243" width="6.85546875" customWidth="1"/>
    <col min="15244" max="15244" width="35" customWidth="1"/>
    <col min="15245" max="15245" width="8" customWidth="1"/>
    <col min="15246" max="15246" width="31.85546875" customWidth="1"/>
    <col min="15247" max="15247" width="12" customWidth="1"/>
    <col min="15248" max="15248" width="11.5703125" customWidth="1"/>
    <col min="15249" max="15249" width="12" customWidth="1"/>
    <col min="15250" max="15250" width="11.140625" customWidth="1"/>
    <col min="15251" max="15252" width="10" customWidth="1"/>
    <col min="15255" max="15255" width="10.7109375" customWidth="1"/>
    <col min="15499" max="15499" width="6.85546875" customWidth="1"/>
    <col min="15500" max="15500" width="35" customWidth="1"/>
    <col min="15501" max="15501" width="8" customWidth="1"/>
    <col min="15502" max="15502" width="31.85546875" customWidth="1"/>
    <col min="15503" max="15503" width="12" customWidth="1"/>
    <col min="15504" max="15504" width="11.5703125" customWidth="1"/>
    <col min="15505" max="15505" width="12" customWidth="1"/>
    <col min="15506" max="15506" width="11.140625" customWidth="1"/>
    <col min="15507" max="15508" width="10" customWidth="1"/>
    <col min="15511" max="15511" width="10.7109375" customWidth="1"/>
    <col min="15755" max="15755" width="6.85546875" customWidth="1"/>
    <col min="15756" max="15756" width="35" customWidth="1"/>
    <col min="15757" max="15757" width="8" customWidth="1"/>
    <col min="15758" max="15758" width="31.85546875" customWidth="1"/>
    <col min="15759" max="15759" width="12" customWidth="1"/>
    <col min="15760" max="15760" width="11.5703125" customWidth="1"/>
    <col min="15761" max="15761" width="12" customWidth="1"/>
    <col min="15762" max="15762" width="11.140625" customWidth="1"/>
    <col min="15763" max="15764" width="10" customWidth="1"/>
    <col min="15767" max="15767" width="10.7109375" customWidth="1"/>
    <col min="16011" max="16011" width="6.85546875" customWidth="1"/>
    <col min="16012" max="16012" width="35" customWidth="1"/>
    <col min="16013" max="16013" width="8" customWidth="1"/>
    <col min="16014" max="16014" width="31.85546875" customWidth="1"/>
    <col min="16015" max="16015" width="12" customWidth="1"/>
    <col min="16016" max="16016" width="11.5703125" customWidth="1"/>
    <col min="16017" max="16017" width="12" customWidth="1"/>
    <col min="16018" max="16018" width="11.140625" customWidth="1"/>
    <col min="16019" max="16020" width="10" customWidth="1"/>
    <col min="16023" max="16023" width="10.7109375" customWidth="1"/>
  </cols>
  <sheetData>
    <row r="1" spans="1:44" ht="15" x14ac:dyDescent="0.25">
      <c r="A1" s="46" t="s">
        <v>2</v>
      </c>
      <c r="B1" s="46"/>
      <c r="C1" s="38"/>
      <c r="D1" s="46"/>
      <c r="E1" s="46"/>
      <c r="F1" s="61"/>
      <c r="G1" s="60"/>
      <c r="H1" s="61"/>
      <c r="AB1" s="48"/>
      <c r="AC1" s="48"/>
      <c r="AD1" s="48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15" customHeight="1" x14ac:dyDescent="0.25">
      <c r="A2" s="46" t="s">
        <v>3</v>
      </c>
      <c r="B2" s="46"/>
      <c r="C2" s="38"/>
      <c r="D2" s="46"/>
      <c r="E2" s="46"/>
      <c r="F2" s="61"/>
      <c r="G2" s="60"/>
      <c r="H2" s="61"/>
    </row>
    <row r="3" spans="1:44" ht="12.75" customHeight="1" x14ac:dyDescent="0.25">
      <c r="A3" s="972" t="s">
        <v>4</v>
      </c>
      <c r="B3" s="972"/>
      <c r="C3" s="972"/>
      <c r="D3" s="972"/>
      <c r="E3" s="972"/>
      <c r="F3" s="61"/>
      <c r="G3" s="60"/>
      <c r="H3" s="61"/>
      <c r="AC3" s="380"/>
    </row>
    <row r="4" spans="1:44" ht="15" x14ac:dyDescent="0.25">
      <c r="A4" s="60"/>
      <c r="B4" s="46"/>
      <c r="C4" s="46"/>
      <c r="D4" s="46"/>
      <c r="E4" s="46"/>
      <c r="F4" s="61"/>
      <c r="G4" s="60"/>
      <c r="H4" s="61"/>
      <c r="O4" s="49"/>
      <c r="P4" s="90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  <c r="AF4" s="900"/>
      <c r="AG4" s="50"/>
      <c r="AH4" s="50"/>
      <c r="AI4" s="50"/>
      <c r="AJ4" s="50"/>
      <c r="AK4" s="50"/>
    </row>
    <row r="5" spans="1:44" ht="16.5" thickBot="1" x14ac:dyDescent="0.3">
      <c r="A5" s="127" t="s">
        <v>841</v>
      </c>
      <c r="B5" s="475"/>
      <c r="C5" s="475"/>
      <c r="D5" s="475"/>
      <c r="E5" s="474"/>
      <c r="F5" s="551"/>
      <c r="G5" s="551"/>
      <c r="H5" s="47"/>
      <c r="O5" s="322"/>
      <c r="P5" s="707" t="s">
        <v>832</v>
      </c>
      <c r="Q5" s="49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49"/>
      <c r="AC5" s="49"/>
      <c r="AD5" s="49"/>
      <c r="AE5" s="50"/>
      <c r="AF5" s="707" t="s">
        <v>832</v>
      </c>
      <c r="AG5" s="50"/>
      <c r="AH5" s="50"/>
      <c r="AI5" s="50"/>
      <c r="AJ5" s="50"/>
      <c r="AK5" s="50"/>
    </row>
    <row r="6" spans="1:44" ht="15" customHeight="1" thickBot="1" x14ac:dyDescent="0.3">
      <c r="A6" s="390"/>
      <c r="B6" s="391"/>
      <c r="C6" s="392"/>
      <c r="D6" s="392"/>
      <c r="E6" s="391"/>
      <c r="F6" s="391"/>
      <c r="G6" s="47"/>
      <c r="H6" s="61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4" ht="18" customHeight="1" thickBot="1" x14ac:dyDescent="0.3">
      <c r="A7" s="60"/>
      <c r="B7" s="5"/>
      <c r="D7" s="9"/>
      <c r="E7" s="5"/>
      <c r="F7" s="61"/>
      <c r="G7" s="60"/>
      <c r="H7" s="61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4" ht="15" customHeight="1" x14ac:dyDescent="0.25">
      <c r="A8" s="87"/>
      <c r="B8" s="62"/>
      <c r="C8" s="62"/>
      <c r="D8" s="62"/>
      <c r="E8" s="62"/>
      <c r="F8" s="62"/>
      <c r="G8" s="62"/>
      <c r="H8" s="62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4" ht="19.5" customHeight="1" thickBot="1" x14ac:dyDescent="0.25">
      <c r="A9" s="10" t="s">
        <v>745</v>
      </c>
      <c r="D9" s="10"/>
      <c r="F9" s="51"/>
      <c r="G9" s="52"/>
      <c r="H9" s="52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4" ht="23.25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147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4" s="91" customFormat="1" ht="11.25" customHeight="1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148" t="s">
        <v>517</v>
      </c>
      <c r="H11" s="172" t="s">
        <v>725</v>
      </c>
      <c r="I11" s="536" t="s">
        <v>254</v>
      </c>
      <c r="J11" s="535" t="s">
        <v>255</v>
      </c>
      <c r="K11" s="535" t="s">
        <v>256</v>
      </c>
      <c r="L11" s="535" t="s">
        <v>257</v>
      </c>
      <c r="M11" s="535" t="s">
        <v>804</v>
      </c>
      <c r="N11" s="623" t="s">
        <v>827</v>
      </c>
      <c r="O11" s="534" t="s">
        <v>776</v>
      </c>
      <c r="P11" s="533" t="s">
        <v>789</v>
      </c>
      <c r="Q11" s="533" t="s">
        <v>776</v>
      </c>
      <c r="R11" s="533" t="s">
        <v>776</v>
      </c>
      <c r="S11" s="533" t="s">
        <v>789</v>
      </c>
      <c r="T11" s="533" t="s">
        <v>789</v>
      </c>
      <c r="U11" s="533" t="s">
        <v>776</v>
      </c>
      <c r="V11" s="534" t="s">
        <v>777</v>
      </c>
      <c r="W11" s="533" t="s">
        <v>777</v>
      </c>
      <c r="X11" s="533" t="s">
        <v>777</v>
      </c>
      <c r="Y11" s="533" t="s">
        <v>777</v>
      </c>
      <c r="Z11" s="534" t="s">
        <v>775</v>
      </c>
      <c r="AA11" s="533" t="s">
        <v>273</v>
      </c>
      <c r="AB11" s="533" t="s">
        <v>274</v>
      </c>
      <c r="AC11" s="533" t="s">
        <v>803</v>
      </c>
      <c r="AD11" s="580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34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827</v>
      </c>
    </row>
    <row r="12" spans="1:44" s="152" customFormat="1" ht="14.1" customHeight="1" x14ac:dyDescent="0.2">
      <c r="A12" s="149">
        <v>1</v>
      </c>
      <c r="B12" s="150">
        <v>3454</v>
      </c>
      <c r="C12" s="150">
        <v>600029085</v>
      </c>
      <c r="D12" s="150">
        <v>75122294</v>
      </c>
      <c r="E12" s="151" t="s">
        <v>7</v>
      </c>
      <c r="F12" s="150">
        <v>3233</v>
      </c>
      <c r="G12" s="151" t="s">
        <v>283</v>
      </c>
      <c r="H12" s="413" t="s">
        <v>263</v>
      </c>
      <c r="I12" s="585">
        <f>SUM(J12:L12)</f>
        <v>4155058</v>
      </c>
      <c r="J12" s="524">
        <v>3082387</v>
      </c>
      <c r="K12" s="781">
        <f>ROUND(J12*33.8%,0)</f>
        <v>1041847</v>
      </c>
      <c r="L12" s="781">
        <f>ROUND(J12*1%,0)</f>
        <v>30824</v>
      </c>
      <c r="M12" s="781">
        <v>0</v>
      </c>
      <c r="N12" s="708">
        <v>5.22</v>
      </c>
      <c r="O12" s="577">
        <f>V12*-1</f>
        <v>0</v>
      </c>
      <c r="P12" s="578">
        <v>0</v>
      </c>
      <c r="Q12" s="578">
        <v>0</v>
      </c>
      <c r="R12" s="578">
        <v>0</v>
      </c>
      <c r="S12" s="578">
        <v>0</v>
      </c>
      <c r="T12" s="578">
        <v>0</v>
      </c>
      <c r="U12" s="578">
        <f>O12+P12+Q12+R12+S12+T12</f>
        <v>0</v>
      </c>
      <c r="V12" s="578">
        <v>0</v>
      </c>
      <c r="W12" s="578">
        <v>0</v>
      </c>
      <c r="X12" s="578">
        <v>0</v>
      </c>
      <c r="Y12" s="578">
        <f>V12+W12+X12</f>
        <v>0</v>
      </c>
      <c r="Z12" s="578">
        <f>U12+Y12</f>
        <v>0</v>
      </c>
      <c r="AA12" s="581">
        <f>ROUND((U12+Y12)*33.8%,0)</f>
        <v>0</v>
      </c>
      <c r="AB12" s="581">
        <f>ROUND(U12*1%,0)</f>
        <v>0</v>
      </c>
      <c r="AC12" s="578">
        <v>0</v>
      </c>
      <c r="AD12" s="622">
        <f>Z12+AA12+AB12+AC12</f>
        <v>0</v>
      </c>
      <c r="AE12" s="624">
        <v>0</v>
      </c>
      <c r="AF12" s="525">
        <v>0</v>
      </c>
      <c r="AG12" s="525">
        <v>0</v>
      </c>
      <c r="AH12" s="525">
        <v>0</v>
      </c>
      <c r="AI12" s="525">
        <v>0</v>
      </c>
      <c r="AJ12" s="525">
        <v>0</v>
      </c>
      <c r="AK12" s="625">
        <f>SUM(AE12:AJ12)</f>
        <v>0</v>
      </c>
      <c r="AL12" s="577">
        <f>I12+AD12</f>
        <v>4155058</v>
      </c>
      <c r="AM12" s="578">
        <f>J12+U12</f>
        <v>3082387</v>
      </c>
      <c r="AN12" s="578">
        <f>Y12</f>
        <v>0</v>
      </c>
      <c r="AO12" s="578">
        <f>K12+AA12</f>
        <v>1041847</v>
      </c>
      <c r="AP12" s="578">
        <f>L12+AB12</f>
        <v>30824</v>
      </c>
      <c r="AQ12" s="578">
        <f>M12+AC12</f>
        <v>0</v>
      </c>
      <c r="AR12" s="582">
        <f>N12+AK12</f>
        <v>5.22</v>
      </c>
    </row>
    <row r="13" spans="1:44" s="152" customFormat="1" ht="12.75" customHeight="1" x14ac:dyDescent="0.2">
      <c r="A13" s="105">
        <v>1</v>
      </c>
      <c r="B13" s="12">
        <v>3454</v>
      </c>
      <c r="C13" s="104">
        <v>600029085</v>
      </c>
      <c r="D13" s="104">
        <v>75122294</v>
      </c>
      <c r="E13" s="153" t="s">
        <v>8</v>
      </c>
      <c r="F13" s="12"/>
      <c r="G13" s="153"/>
      <c r="H13" s="407"/>
      <c r="I13" s="782">
        <f t="shared" ref="I13:AR13" si="0">SUM(I12)</f>
        <v>4155058</v>
      </c>
      <c r="J13" s="378">
        <f t="shared" si="0"/>
        <v>3082387</v>
      </c>
      <c r="K13" s="378">
        <f t="shared" si="0"/>
        <v>1041847</v>
      </c>
      <c r="L13" s="378">
        <f t="shared" si="0"/>
        <v>30824</v>
      </c>
      <c r="M13" s="378">
        <f t="shared" si="0"/>
        <v>0</v>
      </c>
      <c r="N13" s="340">
        <f t="shared" si="0"/>
        <v>5.22</v>
      </c>
      <c r="O13" s="444">
        <f t="shared" si="0"/>
        <v>0</v>
      </c>
      <c r="P13" s="378">
        <f t="shared" si="0"/>
        <v>0</v>
      </c>
      <c r="Q13" s="378">
        <f t="shared" si="0"/>
        <v>0</v>
      </c>
      <c r="R13" s="378">
        <f t="shared" si="0"/>
        <v>0</v>
      </c>
      <c r="S13" s="378">
        <f t="shared" si="0"/>
        <v>0</v>
      </c>
      <c r="T13" s="378">
        <f t="shared" si="0"/>
        <v>0</v>
      </c>
      <c r="U13" s="378">
        <f t="shared" si="0"/>
        <v>0</v>
      </c>
      <c r="V13" s="378">
        <f t="shared" si="0"/>
        <v>0</v>
      </c>
      <c r="W13" s="378">
        <f t="shared" si="0"/>
        <v>0</v>
      </c>
      <c r="X13" s="378">
        <f t="shared" si="0"/>
        <v>0</v>
      </c>
      <c r="Y13" s="378">
        <f t="shared" si="0"/>
        <v>0</v>
      </c>
      <c r="Z13" s="378">
        <f t="shared" si="0"/>
        <v>0</v>
      </c>
      <c r="AA13" s="378">
        <f t="shared" si="0"/>
        <v>0</v>
      </c>
      <c r="AB13" s="378">
        <f t="shared" si="0"/>
        <v>0</v>
      </c>
      <c r="AC13" s="378">
        <f t="shared" si="0"/>
        <v>0</v>
      </c>
      <c r="AD13" s="788">
        <f t="shared" si="0"/>
        <v>0</v>
      </c>
      <c r="AE13" s="790">
        <f t="shared" si="0"/>
        <v>0</v>
      </c>
      <c r="AF13" s="398">
        <f t="shared" si="0"/>
        <v>0</v>
      </c>
      <c r="AG13" s="398">
        <f t="shared" si="0"/>
        <v>0</v>
      </c>
      <c r="AH13" s="398">
        <f t="shared" si="0"/>
        <v>0</v>
      </c>
      <c r="AI13" s="398">
        <f t="shared" si="0"/>
        <v>0</v>
      </c>
      <c r="AJ13" s="398">
        <f t="shared" si="0"/>
        <v>0</v>
      </c>
      <c r="AK13" s="340">
        <f t="shared" si="0"/>
        <v>0</v>
      </c>
      <c r="AL13" s="444">
        <f t="shared" si="0"/>
        <v>4155058</v>
      </c>
      <c r="AM13" s="378">
        <f t="shared" si="0"/>
        <v>3082387</v>
      </c>
      <c r="AN13" s="378">
        <f t="shared" si="0"/>
        <v>0</v>
      </c>
      <c r="AO13" s="378">
        <f t="shared" si="0"/>
        <v>1041847</v>
      </c>
      <c r="AP13" s="378">
        <f t="shared" si="0"/>
        <v>30824</v>
      </c>
      <c r="AQ13" s="378">
        <f t="shared" si="0"/>
        <v>0</v>
      </c>
      <c r="AR13" s="398">
        <f t="shared" si="0"/>
        <v>5.22</v>
      </c>
    </row>
    <row r="14" spans="1:44" s="152" customFormat="1" ht="12.75" customHeight="1" x14ac:dyDescent="0.2">
      <c r="A14" s="154">
        <v>2</v>
      </c>
      <c r="B14" s="155">
        <v>3470</v>
      </c>
      <c r="C14" s="155">
        <v>691003572</v>
      </c>
      <c r="D14" s="155">
        <v>72550341</v>
      </c>
      <c r="E14" s="156" t="s">
        <v>9</v>
      </c>
      <c r="F14" s="155">
        <v>3111</v>
      </c>
      <c r="G14" s="156" t="s">
        <v>277</v>
      </c>
      <c r="H14" s="157" t="s">
        <v>262</v>
      </c>
      <c r="I14" s="627">
        <f>SUM(J14:L14)</f>
        <v>4746794</v>
      </c>
      <c r="J14" s="410">
        <v>3521360</v>
      </c>
      <c r="K14" s="431">
        <f t="shared" ref="K14:K15" si="1">ROUND(J14*33.8%,0)</f>
        <v>1190220</v>
      </c>
      <c r="L14" s="431">
        <f t="shared" ref="L14:L15" si="2">ROUND(J14*1%,0)</f>
        <v>35214</v>
      </c>
      <c r="M14" s="431">
        <v>0</v>
      </c>
      <c r="N14" s="783">
        <v>6</v>
      </c>
      <c r="O14" s="445">
        <f>V14*-1</f>
        <v>0</v>
      </c>
      <c r="P14" s="325">
        <v>0</v>
      </c>
      <c r="Q14" s="325">
        <v>0</v>
      </c>
      <c r="R14" s="325">
        <v>0</v>
      </c>
      <c r="S14" s="325">
        <v>0</v>
      </c>
      <c r="T14" s="325">
        <v>0</v>
      </c>
      <c r="U14" s="492">
        <f t="shared" ref="U14:U15" si="3">O14+P14+Q14+R14+S14+T14</f>
        <v>0</v>
      </c>
      <c r="V14" s="325">
        <v>0</v>
      </c>
      <c r="W14" s="325">
        <v>0</v>
      </c>
      <c r="X14" s="325">
        <v>0</v>
      </c>
      <c r="Y14" s="492">
        <f t="shared" ref="Y14:Y15" si="4">V14+W14+X14</f>
        <v>0</v>
      </c>
      <c r="Z14" s="492">
        <f t="shared" ref="Z14:Z15" si="5">U14+Y14</f>
        <v>0</v>
      </c>
      <c r="AA14" s="494">
        <f t="shared" ref="AA14:AA15" si="6">ROUND((U14+Y14)*33.8%,0)</f>
        <v>0</v>
      </c>
      <c r="AB14" s="494">
        <f t="shared" ref="AB14:AB15" si="7">ROUND(U14*1%,0)</f>
        <v>0</v>
      </c>
      <c r="AC14" s="492">
        <v>0</v>
      </c>
      <c r="AD14" s="789">
        <f t="shared" ref="AD14:AD15" si="8">Z14+AA14+AB14+AC14</f>
        <v>0</v>
      </c>
      <c r="AE14" s="715">
        <v>0</v>
      </c>
      <c r="AF14" s="326">
        <v>0</v>
      </c>
      <c r="AG14" s="326">
        <v>0</v>
      </c>
      <c r="AH14" s="326">
        <v>0</v>
      </c>
      <c r="AI14" s="326">
        <v>0</v>
      </c>
      <c r="AJ14" s="326">
        <v>0</v>
      </c>
      <c r="AK14" s="626">
        <f t="shared" ref="AK14:AK15" si="9">SUM(AE14:AJ14)</f>
        <v>0</v>
      </c>
      <c r="AL14" s="493">
        <f>I14+AD14</f>
        <v>4746794</v>
      </c>
      <c r="AM14" s="492">
        <f>J14+U14</f>
        <v>3521360</v>
      </c>
      <c r="AN14" s="492">
        <f t="shared" ref="AN14:AN15" si="10">Y14</f>
        <v>0</v>
      </c>
      <c r="AO14" s="492">
        <f>K14+AA14</f>
        <v>1190220</v>
      </c>
      <c r="AP14" s="492">
        <f>L14+AB14</f>
        <v>35214</v>
      </c>
      <c r="AQ14" s="578">
        <f t="shared" ref="AQ14:AQ15" si="11">M14+AC14</f>
        <v>0</v>
      </c>
      <c r="AR14" s="491">
        <f t="shared" ref="AR14:AR15" si="12">N14+AK14</f>
        <v>6</v>
      </c>
    </row>
    <row r="15" spans="1:44" s="152" customFormat="1" ht="12.75" customHeight="1" x14ac:dyDescent="0.2">
      <c r="A15" s="154">
        <v>2</v>
      </c>
      <c r="B15" s="155">
        <v>3470</v>
      </c>
      <c r="C15" s="155">
        <v>691003572</v>
      </c>
      <c r="D15" s="155">
        <v>72550341</v>
      </c>
      <c r="E15" s="156" t="s">
        <v>9</v>
      </c>
      <c r="F15" s="155">
        <v>3111</v>
      </c>
      <c r="G15" s="156" t="s">
        <v>284</v>
      </c>
      <c r="H15" s="157" t="s">
        <v>263</v>
      </c>
      <c r="I15" s="586">
        <f>SUM(J15:L15)</f>
        <v>0</v>
      </c>
      <c r="J15" s="323"/>
      <c r="K15" s="431">
        <f t="shared" si="1"/>
        <v>0</v>
      </c>
      <c r="L15" s="431">
        <f t="shared" si="2"/>
        <v>0</v>
      </c>
      <c r="M15" s="431">
        <v>0</v>
      </c>
      <c r="N15" s="784">
        <v>0</v>
      </c>
      <c r="O15" s="440">
        <f>V15*-1</f>
        <v>0</v>
      </c>
      <c r="P15" s="325">
        <v>147964</v>
      </c>
      <c r="Q15" s="325">
        <v>0</v>
      </c>
      <c r="R15" s="325">
        <v>0</v>
      </c>
      <c r="S15" s="325">
        <v>0</v>
      </c>
      <c r="T15" s="325">
        <v>0</v>
      </c>
      <c r="U15" s="492">
        <f t="shared" si="3"/>
        <v>147964</v>
      </c>
      <c r="V15" s="325">
        <v>0</v>
      </c>
      <c r="W15" s="325">
        <v>0</v>
      </c>
      <c r="X15" s="325">
        <v>0</v>
      </c>
      <c r="Y15" s="492">
        <f t="shared" si="4"/>
        <v>0</v>
      </c>
      <c r="Z15" s="492">
        <f t="shared" si="5"/>
        <v>147964</v>
      </c>
      <c r="AA15" s="494">
        <f t="shared" si="6"/>
        <v>50012</v>
      </c>
      <c r="AB15" s="494">
        <f t="shared" si="7"/>
        <v>1480</v>
      </c>
      <c r="AC15" s="492">
        <v>0</v>
      </c>
      <c r="AD15" s="789">
        <f t="shared" si="8"/>
        <v>199456</v>
      </c>
      <c r="AE15" s="715">
        <v>0</v>
      </c>
      <c r="AF15" s="326">
        <v>0.5</v>
      </c>
      <c r="AG15" s="326">
        <v>0</v>
      </c>
      <c r="AH15" s="326">
        <v>0</v>
      </c>
      <c r="AI15" s="326">
        <v>0</v>
      </c>
      <c r="AJ15" s="326">
        <v>0</v>
      </c>
      <c r="AK15" s="626">
        <f t="shared" si="9"/>
        <v>0.5</v>
      </c>
      <c r="AL15" s="493">
        <f>I15+AD15</f>
        <v>199456</v>
      </c>
      <c r="AM15" s="492">
        <f>J15+U15</f>
        <v>147964</v>
      </c>
      <c r="AN15" s="492">
        <f t="shared" si="10"/>
        <v>0</v>
      </c>
      <c r="AO15" s="492">
        <f>K15+AA15</f>
        <v>50012</v>
      </c>
      <c r="AP15" s="492">
        <f>L15+AB15</f>
        <v>1480</v>
      </c>
      <c r="AQ15" s="578">
        <f t="shared" si="11"/>
        <v>0</v>
      </c>
      <c r="AR15" s="491">
        <f t="shared" si="12"/>
        <v>0.5</v>
      </c>
    </row>
    <row r="16" spans="1:44" s="152" customFormat="1" ht="12.75" customHeight="1" x14ac:dyDescent="0.2">
      <c r="A16" s="105">
        <v>2</v>
      </c>
      <c r="B16" s="12">
        <v>3470</v>
      </c>
      <c r="C16" s="104">
        <v>691003572</v>
      </c>
      <c r="D16" s="104">
        <v>72550341</v>
      </c>
      <c r="E16" s="153" t="s">
        <v>10</v>
      </c>
      <c r="F16" s="12"/>
      <c r="G16" s="153"/>
      <c r="H16" s="407"/>
      <c r="I16" s="782">
        <f t="shared" ref="I16:AR16" si="13">SUM(I14:I15)</f>
        <v>4746794</v>
      </c>
      <c r="J16" s="378">
        <f t="shared" si="13"/>
        <v>3521360</v>
      </c>
      <c r="K16" s="378">
        <f t="shared" si="13"/>
        <v>1190220</v>
      </c>
      <c r="L16" s="378">
        <f t="shared" si="13"/>
        <v>35214</v>
      </c>
      <c r="M16" s="378">
        <f t="shared" si="13"/>
        <v>0</v>
      </c>
      <c r="N16" s="340">
        <f t="shared" si="13"/>
        <v>6</v>
      </c>
      <c r="O16" s="444">
        <f t="shared" si="13"/>
        <v>0</v>
      </c>
      <c r="P16" s="378">
        <f t="shared" si="13"/>
        <v>147964</v>
      </c>
      <c r="Q16" s="378">
        <f t="shared" si="13"/>
        <v>0</v>
      </c>
      <c r="R16" s="378">
        <f t="shared" si="13"/>
        <v>0</v>
      </c>
      <c r="S16" s="378">
        <f t="shared" si="13"/>
        <v>0</v>
      </c>
      <c r="T16" s="378">
        <f t="shared" si="13"/>
        <v>0</v>
      </c>
      <c r="U16" s="378">
        <f t="shared" si="13"/>
        <v>147964</v>
      </c>
      <c r="V16" s="378">
        <f t="shared" si="13"/>
        <v>0</v>
      </c>
      <c r="W16" s="378">
        <f t="shared" si="13"/>
        <v>0</v>
      </c>
      <c r="X16" s="378">
        <f t="shared" si="13"/>
        <v>0</v>
      </c>
      <c r="Y16" s="378">
        <f t="shared" si="13"/>
        <v>0</v>
      </c>
      <c r="Z16" s="378">
        <f t="shared" si="13"/>
        <v>147964</v>
      </c>
      <c r="AA16" s="378">
        <f t="shared" si="13"/>
        <v>50012</v>
      </c>
      <c r="AB16" s="378">
        <f t="shared" si="13"/>
        <v>1480</v>
      </c>
      <c r="AC16" s="378">
        <f t="shared" si="13"/>
        <v>0</v>
      </c>
      <c r="AD16" s="788">
        <f t="shared" si="13"/>
        <v>199456</v>
      </c>
      <c r="AE16" s="790">
        <f t="shared" si="13"/>
        <v>0</v>
      </c>
      <c r="AF16" s="398">
        <f t="shared" si="13"/>
        <v>0.5</v>
      </c>
      <c r="AG16" s="398">
        <f t="shared" si="13"/>
        <v>0</v>
      </c>
      <c r="AH16" s="398">
        <f t="shared" si="13"/>
        <v>0</v>
      </c>
      <c r="AI16" s="398">
        <f t="shared" si="13"/>
        <v>0</v>
      </c>
      <c r="AJ16" s="398">
        <f t="shared" si="13"/>
        <v>0</v>
      </c>
      <c r="AK16" s="340">
        <f t="shared" si="13"/>
        <v>0.5</v>
      </c>
      <c r="AL16" s="444">
        <f t="shared" si="13"/>
        <v>4946250</v>
      </c>
      <c r="AM16" s="378">
        <f t="shared" si="13"/>
        <v>3669324</v>
      </c>
      <c r="AN16" s="378">
        <f t="shared" si="13"/>
        <v>0</v>
      </c>
      <c r="AO16" s="378">
        <f t="shared" si="13"/>
        <v>1240232</v>
      </c>
      <c r="AP16" s="378">
        <f t="shared" si="13"/>
        <v>36694</v>
      </c>
      <c r="AQ16" s="378">
        <f t="shared" si="13"/>
        <v>0</v>
      </c>
      <c r="AR16" s="398">
        <f t="shared" si="13"/>
        <v>6.5</v>
      </c>
    </row>
    <row r="17" spans="1:44" s="152" customFormat="1" ht="12.75" customHeight="1" x14ac:dyDescent="0.2">
      <c r="A17" s="154">
        <v>3</v>
      </c>
      <c r="B17" s="155">
        <v>3469</v>
      </c>
      <c r="C17" s="155">
        <v>691003548</v>
      </c>
      <c r="D17" s="155">
        <v>72550384</v>
      </c>
      <c r="E17" s="156" t="s">
        <v>11</v>
      </c>
      <c r="F17" s="155">
        <v>3111</v>
      </c>
      <c r="G17" s="156" t="s">
        <v>277</v>
      </c>
      <c r="H17" s="157" t="s">
        <v>262</v>
      </c>
      <c r="I17" s="586">
        <f>SUM(J17:L17)</f>
        <v>6293665</v>
      </c>
      <c r="J17" s="410">
        <v>4668891</v>
      </c>
      <c r="K17" s="431">
        <f t="shared" ref="K17:K18" si="14">ROUND(J17*33.8%,0)</f>
        <v>1578085</v>
      </c>
      <c r="L17" s="431">
        <f t="shared" ref="L17:L18" si="15">ROUND(J17*1%,0)</f>
        <v>46689</v>
      </c>
      <c r="M17" s="431">
        <v>0</v>
      </c>
      <c r="N17" s="783">
        <v>8</v>
      </c>
      <c r="O17" s="445">
        <f>V17*-1</f>
        <v>0</v>
      </c>
      <c r="P17" s="325">
        <v>0</v>
      </c>
      <c r="Q17" s="325">
        <v>0</v>
      </c>
      <c r="R17" s="325">
        <v>0</v>
      </c>
      <c r="S17" s="325">
        <v>0</v>
      </c>
      <c r="T17" s="325">
        <v>0</v>
      </c>
      <c r="U17" s="492">
        <f t="shared" ref="U17:U18" si="16">O17+P17+Q17+R17+S17+T17</f>
        <v>0</v>
      </c>
      <c r="V17" s="325">
        <v>0</v>
      </c>
      <c r="W17" s="325">
        <v>0</v>
      </c>
      <c r="X17" s="325">
        <v>0</v>
      </c>
      <c r="Y17" s="492">
        <f t="shared" ref="Y17:Y18" si="17">V17+W17+X17</f>
        <v>0</v>
      </c>
      <c r="Z17" s="492">
        <f t="shared" ref="Z17:Z18" si="18">U17+Y17</f>
        <v>0</v>
      </c>
      <c r="AA17" s="494">
        <f t="shared" ref="AA17:AA18" si="19">ROUND((U17+Y17)*33.8%,0)</f>
        <v>0</v>
      </c>
      <c r="AB17" s="494">
        <f t="shared" ref="AB17:AB18" si="20">ROUND(U17*1%,0)</f>
        <v>0</v>
      </c>
      <c r="AC17" s="492">
        <v>0</v>
      </c>
      <c r="AD17" s="789">
        <f t="shared" ref="AD17:AD18" si="21">Z17+AA17+AB17+AC17</f>
        <v>0</v>
      </c>
      <c r="AE17" s="715">
        <v>0</v>
      </c>
      <c r="AF17" s="326">
        <v>0</v>
      </c>
      <c r="AG17" s="326">
        <v>0</v>
      </c>
      <c r="AH17" s="326">
        <v>0</v>
      </c>
      <c r="AI17" s="326">
        <v>0</v>
      </c>
      <c r="AJ17" s="326">
        <v>0</v>
      </c>
      <c r="AK17" s="626">
        <f t="shared" ref="AK17:AK18" si="22">SUM(AE17:AJ17)</f>
        <v>0</v>
      </c>
      <c r="AL17" s="493">
        <f>I17+AD17</f>
        <v>6293665</v>
      </c>
      <c r="AM17" s="492">
        <f>J17+U17</f>
        <v>4668891</v>
      </c>
      <c r="AN17" s="492">
        <f t="shared" ref="AN17:AN18" si="23">Y17</f>
        <v>0</v>
      </c>
      <c r="AO17" s="492">
        <f>K17+AA17</f>
        <v>1578085</v>
      </c>
      <c r="AP17" s="492">
        <f>L17+AB17</f>
        <v>46689</v>
      </c>
      <c r="AQ17" s="578">
        <f t="shared" ref="AQ17:AQ18" si="24">M17+AC17</f>
        <v>0</v>
      </c>
      <c r="AR17" s="491">
        <f t="shared" ref="AR17:AR18" si="25">N17+AK17</f>
        <v>8</v>
      </c>
    </row>
    <row r="18" spans="1:44" s="152" customFormat="1" ht="12.75" customHeight="1" x14ac:dyDescent="0.2">
      <c r="A18" s="154">
        <v>3</v>
      </c>
      <c r="B18" s="155">
        <v>3469</v>
      </c>
      <c r="C18" s="155">
        <v>691003548</v>
      </c>
      <c r="D18" s="155">
        <v>72550384</v>
      </c>
      <c r="E18" s="156" t="s">
        <v>11</v>
      </c>
      <c r="F18" s="155">
        <v>3111</v>
      </c>
      <c r="G18" s="156" t="s">
        <v>284</v>
      </c>
      <c r="H18" s="157" t="s">
        <v>263</v>
      </c>
      <c r="I18" s="586">
        <f>SUM(J18:L18)</f>
        <v>0</v>
      </c>
      <c r="J18" s="323"/>
      <c r="K18" s="431">
        <f t="shared" si="14"/>
        <v>0</v>
      </c>
      <c r="L18" s="431">
        <f t="shared" si="15"/>
        <v>0</v>
      </c>
      <c r="M18" s="431">
        <v>0</v>
      </c>
      <c r="N18" s="784">
        <v>0</v>
      </c>
      <c r="O18" s="440">
        <f>V18*-1</f>
        <v>0</v>
      </c>
      <c r="P18" s="325">
        <v>0</v>
      </c>
      <c r="Q18" s="325">
        <v>0</v>
      </c>
      <c r="R18" s="325">
        <v>0</v>
      </c>
      <c r="S18" s="325">
        <v>0</v>
      </c>
      <c r="T18" s="325">
        <v>0</v>
      </c>
      <c r="U18" s="492">
        <f t="shared" si="16"/>
        <v>0</v>
      </c>
      <c r="V18" s="325">
        <v>0</v>
      </c>
      <c r="W18" s="325">
        <v>0</v>
      </c>
      <c r="X18" s="325">
        <v>0</v>
      </c>
      <c r="Y18" s="492">
        <f t="shared" si="17"/>
        <v>0</v>
      </c>
      <c r="Z18" s="492">
        <f t="shared" si="18"/>
        <v>0</v>
      </c>
      <c r="AA18" s="494">
        <f t="shared" si="19"/>
        <v>0</v>
      </c>
      <c r="AB18" s="494">
        <f t="shared" si="20"/>
        <v>0</v>
      </c>
      <c r="AC18" s="492">
        <v>0</v>
      </c>
      <c r="AD18" s="789">
        <f t="shared" si="21"/>
        <v>0</v>
      </c>
      <c r="AE18" s="715">
        <v>0</v>
      </c>
      <c r="AF18" s="326">
        <v>0</v>
      </c>
      <c r="AG18" s="326">
        <v>0</v>
      </c>
      <c r="AH18" s="326">
        <v>0</v>
      </c>
      <c r="AI18" s="326">
        <v>0</v>
      </c>
      <c r="AJ18" s="326">
        <v>0</v>
      </c>
      <c r="AK18" s="626">
        <f t="shared" si="22"/>
        <v>0</v>
      </c>
      <c r="AL18" s="493">
        <f>I18+AD18</f>
        <v>0</v>
      </c>
      <c r="AM18" s="492">
        <f>J18+U18</f>
        <v>0</v>
      </c>
      <c r="AN18" s="492">
        <f t="shared" si="23"/>
        <v>0</v>
      </c>
      <c r="AO18" s="492">
        <f>K18+AA18</f>
        <v>0</v>
      </c>
      <c r="AP18" s="492">
        <f>L18+AB18</f>
        <v>0</v>
      </c>
      <c r="AQ18" s="578">
        <f t="shared" si="24"/>
        <v>0</v>
      </c>
      <c r="AR18" s="491">
        <f t="shared" si="25"/>
        <v>0</v>
      </c>
    </row>
    <row r="19" spans="1:44" s="152" customFormat="1" ht="12.75" customHeight="1" x14ac:dyDescent="0.2">
      <c r="A19" s="105">
        <v>3</v>
      </c>
      <c r="B19" s="12">
        <v>3469</v>
      </c>
      <c r="C19" s="104">
        <v>691003548</v>
      </c>
      <c r="D19" s="104">
        <v>72550384</v>
      </c>
      <c r="E19" s="153" t="s">
        <v>12</v>
      </c>
      <c r="F19" s="12"/>
      <c r="G19" s="153"/>
      <c r="H19" s="407"/>
      <c r="I19" s="782">
        <f t="shared" ref="I19:AR19" si="26">SUM(I17:I18)</f>
        <v>6293665</v>
      </c>
      <c r="J19" s="378">
        <f t="shared" si="26"/>
        <v>4668891</v>
      </c>
      <c r="K19" s="378">
        <f t="shared" si="26"/>
        <v>1578085</v>
      </c>
      <c r="L19" s="378">
        <f t="shared" si="26"/>
        <v>46689</v>
      </c>
      <c r="M19" s="378">
        <f t="shared" si="26"/>
        <v>0</v>
      </c>
      <c r="N19" s="340">
        <f t="shared" si="26"/>
        <v>8</v>
      </c>
      <c r="O19" s="444">
        <f t="shared" si="26"/>
        <v>0</v>
      </c>
      <c r="P19" s="378">
        <f t="shared" si="26"/>
        <v>0</v>
      </c>
      <c r="Q19" s="378">
        <f t="shared" si="26"/>
        <v>0</v>
      </c>
      <c r="R19" s="378">
        <f t="shared" si="26"/>
        <v>0</v>
      </c>
      <c r="S19" s="378">
        <f t="shared" si="26"/>
        <v>0</v>
      </c>
      <c r="T19" s="378">
        <f t="shared" si="26"/>
        <v>0</v>
      </c>
      <c r="U19" s="378">
        <f t="shared" si="26"/>
        <v>0</v>
      </c>
      <c r="V19" s="378">
        <f t="shared" si="26"/>
        <v>0</v>
      </c>
      <c r="W19" s="378">
        <f t="shared" si="26"/>
        <v>0</v>
      </c>
      <c r="X19" s="378">
        <f t="shared" si="26"/>
        <v>0</v>
      </c>
      <c r="Y19" s="378">
        <f t="shared" si="26"/>
        <v>0</v>
      </c>
      <c r="Z19" s="378">
        <f t="shared" si="26"/>
        <v>0</v>
      </c>
      <c r="AA19" s="378">
        <f t="shared" si="26"/>
        <v>0</v>
      </c>
      <c r="AB19" s="378">
        <f t="shared" si="26"/>
        <v>0</v>
      </c>
      <c r="AC19" s="378">
        <f t="shared" si="26"/>
        <v>0</v>
      </c>
      <c r="AD19" s="788">
        <f t="shared" si="26"/>
        <v>0</v>
      </c>
      <c r="AE19" s="790">
        <f t="shared" si="26"/>
        <v>0</v>
      </c>
      <c r="AF19" s="398">
        <f t="shared" si="26"/>
        <v>0</v>
      </c>
      <c r="AG19" s="398">
        <f t="shared" si="26"/>
        <v>0</v>
      </c>
      <c r="AH19" s="398">
        <f t="shared" si="26"/>
        <v>0</v>
      </c>
      <c r="AI19" s="398">
        <f t="shared" si="26"/>
        <v>0</v>
      </c>
      <c r="AJ19" s="398">
        <f t="shared" si="26"/>
        <v>0</v>
      </c>
      <c r="AK19" s="340">
        <f t="shared" si="26"/>
        <v>0</v>
      </c>
      <c r="AL19" s="444">
        <f t="shared" si="26"/>
        <v>6293665</v>
      </c>
      <c r="AM19" s="378">
        <f t="shared" si="26"/>
        <v>4668891</v>
      </c>
      <c r="AN19" s="378">
        <f t="shared" si="26"/>
        <v>0</v>
      </c>
      <c r="AO19" s="378">
        <f t="shared" si="26"/>
        <v>1578085</v>
      </c>
      <c r="AP19" s="378">
        <f t="shared" si="26"/>
        <v>46689</v>
      </c>
      <c r="AQ19" s="378">
        <f t="shared" si="26"/>
        <v>0</v>
      </c>
      <c r="AR19" s="398">
        <f t="shared" si="26"/>
        <v>8</v>
      </c>
    </row>
    <row r="20" spans="1:44" s="152" customFormat="1" ht="12.75" customHeight="1" x14ac:dyDescent="0.2">
      <c r="A20" s="154">
        <v>4</v>
      </c>
      <c r="B20" s="155">
        <v>3462</v>
      </c>
      <c r="C20" s="155">
        <v>691001294</v>
      </c>
      <c r="D20" s="155">
        <v>72048115</v>
      </c>
      <c r="E20" s="156" t="s">
        <v>13</v>
      </c>
      <c r="F20" s="155">
        <v>3111</v>
      </c>
      <c r="G20" s="156" t="s">
        <v>277</v>
      </c>
      <c r="H20" s="157" t="s">
        <v>262</v>
      </c>
      <c r="I20" s="627">
        <f>SUM(J20:L20)</f>
        <v>4990691</v>
      </c>
      <c r="J20" s="410">
        <v>3702293</v>
      </c>
      <c r="K20" s="431">
        <f t="shared" ref="K20:K21" si="27">ROUND(J20*33.8%,0)</f>
        <v>1251375</v>
      </c>
      <c r="L20" s="431">
        <f t="shared" ref="L20:L21" si="28">ROUND(J20*1%,0)</f>
        <v>37023</v>
      </c>
      <c r="M20" s="431">
        <v>0</v>
      </c>
      <c r="N20" s="783">
        <v>6</v>
      </c>
      <c r="O20" s="445">
        <f>V20*-1</f>
        <v>-17316</v>
      </c>
      <c r="P20" s="325">
        <v>0</v>
      </c>
      <c r="Q20" s="325">
        <v>0</v>
      </c>
      <c r="R20" s="325">
        <v>0</v>
      </c>
      <c r="S20" s="325">
        <v>0</v>
      </c>
      <c r="T20" s="325">
        <v>0</v>
      </c>
      <c r="U20" s="492">
        <f t="shared" ref="U20:U21" si="29">O20+P20+Q20+R20+S20+T20</f>
        <v>-17316</v>
      </c>
      <c r="V20" s="325">
        <v>17316</v>
      </c>
      <c r="W20" s="325">
        <v>0</v>
      </c>
      <c r="X20" s="325">
        <v>0</v>
      </c>
      <c r="Y20" s="492">
        <f t="shared" ref="Y20:Y21" si="30">V20+W20+X20</f>
        <v>17316</v>
      </c>
      <c r="Z20" s="492">
        <f t="shared" ref="Z20:Z21" si="31">U20+Y20</f>
        <v>0</v>
      </c>
      <c r="AA20" s="494">
        <f t="shared" ref="AA20:AA21" si="32">ROUND((U20+Y20)*33.8%,0)</f>
        <v>0</v>
      </c>
      <c r="AB20" s="494">
        <f t="shared" ref="AB20:AB21" si="33">ROUND(U20*1%,0)</f>
        <v>-173</v>
      </c>
      <c r="AC20" s="492">
        <v>0</v>
      </c>
      <c r="AD20" s="789">
        <f t="shared" ref="AD20:AD21" si="34">Z20+AA20+AB20+AC20</f>
        <v>-173</v>
      </c>
      <c r="AE20" s="715">
        <v>0</v>
      </c>
      <c r="AF20" s="326">
        <v>0</v>
      </c>
      <c r="AG20" s="326">
        <v>0</v>
      </c>
      <c r="AH20" s="326">
        <v>0</v>
      </c>
      <c r="AI20" s="326">
        <v>0</v>
      </c>
      <c r="AJ20" s="326">
        <v>0</v>
      </c>
      <c r="AK20" s="626">
        <f t="shared" ref="AK20:AK21" si="35">SUM(AE20:AJ20)</f>
        <v>0</v>
      </c>
      <c r="AL20" s="493">
        <f>I20+AD20</f>
        <v>4990518</v>
      </c>
      <c r="AM20" s="492">
        <f>J20+U20</f>
        <v>3684977</v>
      </c>
      <c r="AN20" s="492">
        <f t="shared" ref="AN20:AN21" si="36">Y20</f>
        <v>17316</v>
      </c>
      <c r="AO20" s="492">
        <f>K20+AA20</f>
        <v>1251375</v>
      </c>
      <c r="AP20" s="492">
        <f>L20+AB20</f>
        <v>36850</v>
      </c>
      <c r="AQ20" s="578">
        <f t="shared" ref="AQ20:AQ21" si="37">M20+AC20</f>
        <v>0</v>
      </c>
      <c r="AR20" s="491">
        <f t="shared" ref="AR20:AR21" si="38">N20+AK20</f>
        <v>6</v>
      </c>
    </row>
    <row r="21" spans="1:44" s="152" customFormat="1" ht="12.75" customHeight="1" x14ac:dyDescent="0.2">
      <c r="A21" s="154">
        <v>4</v>
      </c>
      <c r="B21" s="155">
        <v>3462</v>
      </c>
      <c r="C21" s="155">
        <v>691001294</v>
      </c>
      <c r="D21" s="155">
        <v>72048115</v>
      </c>
      <c r="E21" s="156" t="s">
        <v>13</v>
      </c>
      <c r="F21" s="155">
        <v>3111</v>
      </c>
      <c r="G21" s="156" t="s">
        <v>278</v>
      </c>
      <c r="H21" s="157" t="s">
        <v>263</v>
      </c>
      <c r="I21" s="586">
        <f>SUM(J21:L21)</f>
        <v>0</v>
      </c>
      <c r="J21" s="323"/>
      <c r="K21" s="431">
        <f t="shared" si="27"/>
        <v>0</v>
      </c>
      <c r="L21" s="431">
        <f t="shared" si="28"/>
        <v>0</v>
      </c>
      <c r="M21" s="431">
        <v>0</v>
      </c>
      <c r="N21" s="784">
        <v>0</v>
      </c>
      <c r="O21" s="440">
        <f>V21*-1</f>
        <v>0</v>
      </c>
      <c r="P21" s="325">
        <v>0</v>
      </c>
      <c r="Q21" s="325">
        <v>0</v>
      </c>
      <c r="R21" s="325">
        <v>0</v>
      </c>
      <c r="S21" s="325">
        <v>0</v>
      </c>
      <c r="T21" s="325">
        <v>0</v>
      </c>
      <c r="U21" s="492">
        <f t="shared" si="29"/>
        <v>0</v>
      </c>
      <c r="V21" s="325">
        <v>0</v>
      </c>
      <c r="W21" s="325">
        <v>0</v>
      </c>
      <c r="X21" s="325">
        <v>0</v>
      </c>
      <c r="Y21" s="492">
        <f t="shared" si="30"/>
        <v>0</v>
      </c>
      <c r="Z21" s="492">
        <f t="shared" si="31"/>
        <v>0</v>
      </c>
      <c r="AA21" s="494">
        <f t="shared" si="32"/>
        <v>0</v>
      </c>
      <c r="AB21" s="494">
        <f t="shared" si="33"/>
        <v>0</v>
      </c>
      <c r="AC21" s="492">
        <v>0</v>
      </c>
      <c r="AD21" s="789">
        <f t="shared" si="34"/>
        <v>0</v>
      </c>
      <c r="AE21" s="715">
        <v>0</v>
      </c>
      <c r="AF21" s="326">
        <v>0</v>
      </c>
      <c r="AG21" s="326">
        <v>0</v>
      </c>
      <c r="AH21" s="326">
        <v>0</v>
      </c>
      <c r="AI21" s="326">
        <v>0</v>
      </c>
      <c r="AJ21" s="326">
        <v>0</v>
      </c>
      <c r="AK21" s="626">
        <f t="shared" si="35"/>
        <v>0</v>
      </c>
      <c r="AL21" s="493">
        <f>I21+AD21</f>
        <v>0</v>
      </c>
      <c r="AM21" s="492">
        <f>J21+U21</f>
        <v>0</v>
      </c>
      <c r="AN21" s="492">
        <f t="shared" si="36"/>
        <v>0</v>
      </c>
      <c r="AO21" s="492">
        <f>K21+AA21</f>
        <v>0</v>
      </c>
      <c r="AP21" s="492">
        <f>L21+AB21</f>
        <v>0</v>
      </c>
      <c r="AQ21" s="578">
        <f t="shared" si="37"/>
        <v>0</v>
      </c>
      <c r="AR21" s="491">
        <f t="shared" si="38"/>
        <v>0</v>
      </c>
    </row>
    <row r="22" spans="1:44" s="152" customFormat="1" ht="12.75" customHeight="1" x14ac:dyDescent="0.2">
      <c r="A22" s="105">
        <v>4</v>
      </c>
      <c r="B22" s="12">
        <v>3462</v>
      </c>
      <c r="C22" s="104">
        <v>691001294</v>
      </c>
      <c r="D22" s="104">
        <v>72048115</v>
      </c>
      <c r="E22" s="153" t="s">
        <v>14</v>
      </c>
      <c r="F22" s="12"/>
      <c r="G22" s="153"/>
      <c r="H22" s="407"/>
      <c r="I22" s="782">
        <f t="shared" ref="I22:AR22" si="39">SUM(I20:I21)</f>
        <v>4990691</v>
      </c>
      <c r="J22" s="378">
        <f t="shared" si="39"/>
        <v>3702293</v>
      </c>
      <c r="K22" s="378">
        <f t="shared" si="39"/>
        <v>1251375</v>
      </c>
      <c r="L22" s="378">
        <f t="shared" si="39"/>
        <v>37023</v>
      </c>
      <c r="M22" s="378">
        <f t="shared" si="39"/>
        <v>0</v>
      </c>
      <c r="N22" s="340">
        <f t="shared" si="39"/>
        <v>6</v>
      </c>
      <c r="O22" s="444">
        <f t="shared" si="39"/>
        <v>-17316</v>
      </c>
      <c r="P22" s="378">
        <f t="shared" si="39"/>
        <v>0</v>
      </c>
      <c r="Q22" s="378">
        <f t="shared" si="39"/>
        <v>0</v>
      </c>
      <c r="R22" s="378">
        <f t="shared" si="39"/>
        <v>0</v>
      </c>
      <c r="S22" s="378">
        <f t="shared" si="39"/>
        <v>0</v>
      </c>
      <c r="T22" s="378">
        <f t="shared" si="39"/>
        <v>0</v>
      </c>
      <c r="U22" s="378">
        <f t="shared" si="39"/>
        <v>-17316</v>
      </c>
      <c r="V22" s="378">
        <f t="shared" si="39"/>
        <v>17316</v>
      </c>
      <c r="W22" s="378">
        <f t="shared" si="39"/>
        <v>0</v>
      </c>
      <c r="X22" s="378">
        <f t="shared" si="39"/>
        <v>0</v>
      </c>
      <c r="Y22" s="378">
        <f t="shared" si="39"/>
        <v>17316</v>
      </c>
      <c r="Z22" s="378">
        <f t="shared" si="39"/>
        <v>0</v>
      </c>
      <c r="AA22" s="378">
        <f t="shared" si="39"/>
        <v>0</v>
      </c>
      <c r="AB22" s="378">
        <f t="shared" si="39"/>
        <v>-173</v>
      </c>
      <c r="AC22" s="378">
        <f t="shared" si="39"/>
        <v>0</v>
      </c>
      <c r="AD22" s="788">
        <f t="shared" si="39"/>
        <v>-173</v>
      </c>
      <c r="AE22" s="790">
        <f t="shared" si="39"/>
        <v>0</v>
      </c>
      <c r="AF22" s="398">
        <f t="shared" si="39"/>
        <v>0</v>
      </c>
      <c r="AG22" s="398">
        <f t="shared" si="39"/>
        <v>0</v>
      </c>
      <c r="AH22" s="398">
        <f t="shared" si="39"/>
        <v>0</v>
      </c>
      <c r="AI22" s="398">
        <f t="shared" si="39"/>
        <v>0</v>
      </c>
      <c r="AJ22" s="398">
        <f t="shared" si="39"/>
        <v>0</v>
      </c>
      <c r="AK22" s="340">
        <f t="shared" si="39"/>
        <v>0</v>
      </c>
      <c r="AL22" s="444">
        <f t="shared" si="39"/>
        <v>4990518</v>
      </c>
      <c r="AM22" s="378">
        <f t="shared" si="39"/>
        <v>3684977</v>
      </c>
      <c r="AN22" s="378">
        <f t="shared" si="39"/>
        <v>17316</v>
      </c>
      <c r="AO22" s="378">
        <f t="shared" si="39"/>
        <v>1251375</v>
      </c>
      <c r="AP22" s="378">
        <f t="shared" si="39"/>
        <v>36850</v>
      </c>
      <c r="AQ22" s="378">
        <f t="shared" si="39"/>
        <v>0</v>
      </c>
      <c r="AR22" s="398">
        <f t="shared" si="39"/>
        <v>6</v>
      </c>
    </row>
    <row r="23" spans="1:44" s="152" customFormat="1" ht="12.75" customHeight="1" x14ac:dyDescent="0.2">
      <c r="A23" s="154">
        <v>5</v>
      </c>
      <c r="B23" s="155">
        <v>3464</v>
      </c>
      <c r="C23" s="155">
        <v>691001316</v>
      </c>
      <c r="D23" s="155">
        <v>72048140</v>
      </c>
      <c r="E23" s="156" t="s">
        <v>15</v>
      </c>
      <c r="F23" s="155">
        <v>3111</v>
      </c>
      <c r="G23" s="156" t="s">
        <v>277</v>
      </c>
      <c r="H23" s="157" t="s">
        <v>262</v>
      </c>
      <c r="I23" s="627">
        <f>SUM(J23:L23)</f>
        <v>6715477</v>
      </c>
      <c r="J23" s="410">
        <v>4981808</v>
      </c>
      <c r="K23" s="431">
        <f t="shared" ref="K23:K24" si="40">ROUND(J23*33.8%,0)</f>
        <v>1683851</v>
      </c>
      <c r="L23" s="431">
        <f t="shared" ref="L23:L24" si="41">ROUND(J23*1%,0)</f>
        <v>49818</v>
      </c>
      <c r="M23" s="431">
        <v>0</v>
      </c>
      <c r="N23" s="783">
        <v>8.2899999999999991</v>
      </c>
      <c r="O23" s="445">
        <f>V23*-1</f>
        <v>-16800</v>
      </c>
      <c r="P23" s="325">
        <v>0</v>
      </c>
      <c r="Q23" s="325">
        <v>0</v>
      </c>
      <c r="R23" s="325">
        <v>0</v>
      </c>
      <c r="S23" s="325">
        <v>0</v>
      </c>
      <c r="T23" s="325">
        <v>0</v>
      </c>
      <c r="U23" s="492">
        <f t="shared" ref="U23:U24" si="42">O23+P23+Q23+R23+S23+T23</f>
        <v>-16800</v>
      </c>
      <c r="V23" s="325">
        <v>16800</v>
      </c>
      <c r="W23" s="325">
        <v>0</v>
      </c>
      <c r="X23" s="325">
        <v>0</v>
      </c>
      <c r="Y23" s="492">
        <f t="shared" ref="Y23:Y24" si="43">V23+W23+X23</f>
        <v>16800</v>
      </c>
      <c r="Z23" s="492">
        <f t="shared" ref="Z23:Z24" si="44">U23+Y23</f>
        <v>0</v>
      </c>
      <c r="AA23" s="494">
        <f t="shared" ref="AA23:AA24" si="45">ROUND((U23+Y23)*33.8%,0)</f>
        <v>0</v>
      </c>
      <c r="AB23" s="494">
        <f t="shared" ref="AB23:AB24" si="46">ROUND(U23*1%,0)</f>
        <v>-168</v>
      </c>
      <c r="AC23" s="492">
        <v>0</v>
      </c>
      <c r="AD23" s="789">
        <f t="shared" ref="AD23:AD24" si="47">Z23+AA23+AB23+AC23</f>
        <v>-168</v>
      </c>
      <c r="AE23" s="715">
        <v>0</v>
      </c>
      <c r="AF23" s="326">
        <v>0</v>
      </c>
      <c r="AG23" s="326">
        <v>0</v>
      </c>
      <c r="AH23" s="326">
        <v>0</v>
      </c>
      <c r="AI23" s="326">
        <v>0</v>
      </c>
      <c r="AJ23" s="326">
        <v>0</v>
      </c>
      <c r="AK23" s="626">
        <f t="shared" ref="AK23:AK24" si="48">SUM(AE23:AJ23)</f>
        <v>0</v>
      </c>
      <c r="AL23" s="493">
        <f>I23+AD23</f>
        <v>6715309</v>
      </c>
      <c r="AM23" s="492">
        <f>J23+U23</f>
        <v>4965008</v>
      </c>
      <c r="AN23" s="492">
        <f t="shared" ref="AN23:AN24" si="49">Y23</f>
        <v>16800</v>
      </c>
      <c r="AO23" s="492">
        <f>K23+AA23</f>
        <v>1683851</v>
      </c>
      <c r="AP23" s="492">
        <f>L23+AB23</f>
        <v>49650</v>
      </c>
      <c r="AQ23" s="578">
        <f t="shared" ref="AQ23:AQ24" si="50">M23+AC23</f>
        <v>0</v>
      </c>
      <c r="AR23" s="491">
        <f t="shared" ref="AR23:AR24" si="51">N23+AK23</f>
        <v>8.2899999999999991</v>
      </c>
    </row>
    <row r="24" spans="1:44" s="152" customFormat="1" ht="12.75" customHeight="1" x14ac:dyDescent="0.2">
      <c r="A24" s="154">
        <v>5</v>
      </c>
      <c r="B24" s="155">
        <v>3464</v>
      </c>
      <c r="C24" s="155">
        <v>691001316</v>
      </c>
      <c r="D24" s="155">
        <v>72048140</v>
      </c>
      <c r="E24" s="156" t="s">
        <v>15</v>
      </c>
      <c r="F24" s="155">
        <v>3111</v>
      </c>
      <c r="G24" s="156" t="s">
        <v>278</v>
      </c>
      <c r="H24" s="157" t="s">
        <v>263</v>
      </c>
      <c r="I24" s="586">
        <f>SUM(J24:L24)</f>
        <v>0</v>
      </c>
      <c r="J24" s="323"/>
      <c r="K24" s="431">
        <f t="shared" si="40"/>
        <v>0</v>
      </c>
      <c r="L24" s="431">
        <f t="shared" si="41"/>
        <v>0</v>
      </c>
      <c r="M24" s="431">
        <v>0</v>
      </c>
      <c r="N24" s="784">
        <v>0</v>
      </c>
      <c r="O24" s="440">
        <f>V24*-1</f>
        <v>0</v>
      </c>
      <c r="P24" s="325">
        <v>892908</v>
      </c>
      <c r="Q24" s="325">
        <v>0</v>
      </c>
      <c r="R24" s="325">
        <v>0</v>
      </c>
      <c r="S24" s="325">
        <v>0</v>
      </c>
      <c r="T24" s="325">
        <v>0</v>
      </c>
      <c r="U24" s="492">
        <f t="shared" si="42"/>
        <v>892908</v>
      </c>
      <c r="V24" s="325">
        <v>0</v>
      </c>
      <c r="W24" s="325">
        <v>0</v>
      </c>
      <c r="X24" s="325">
        <v>0</v>
      </c>
      <c r="Y24" s="492">
        <f t="shared" si="43"/>
        <v>0</v>
      </c>
      <c r="Z24" s="492">
        <f t="shared" si="44"/>
        <v>892908</v>
      </c>
      <c r="AA24" s="494">
        <f t="shared" si="45"/>
        <v>301803</v>
      </c>
      <c r="AB24" s="494">
        <f t="shared" si="46"/>
        <v>8929</v>
      </c>
      <c r="AC24" s="492">
        <v>0</v>
      </c>
      <c r="AD24" s="789">
        <f t="shared" si="47"/>
        <v>1203640</v>
      </c>
      <c r="AE24" s="715">
        <v>0</v>
      </c>
      <c r="AF24" s="326">
        <v>2.25</v>
      </c>
      <c r="AG24" s="326">
        <v>0</v>
      </c>
      <c r="AH24" s="326">
        <v>0</v>
      </c>
      <c r="AI24" s="326">
        <v>0</v>
      </c>
      <c r="AJ24" s="326">
        <v>0</v>
      </c>
      <c r="AK24" s="626">
        <f t="shared" si="48"/>
        <v>2.25</v>
      </c>
      <c r="AL24" s="493">
        <f>I24+AD24</f>
        <v>1203640</v>
      </c>
      <c r="AM24" s="492">
        <f>J24+U24</f>
        <v>892908</v>
      </c>
      <c r="AN24" s="492">
        <f t="shared" si="49"/>
        <v>0</v>
      </c>
      <c r="AO24" s="492">
        <f>K24+AA24</f>
        <v>301803</v>
      </c>
      <c r="AP24" s="492">
        <f>L24+AB24</f>
        <v>8929</v>
      </c>
      <c r="AQ24" s="578">
        <f t="shared" si="50"/>
        <v>0</v>
      </c>
      <c r="AR24" s="491">
        <f t="shared" si="51"/>
        <v>2.25</v>
      </c>
    </row>
    <row r="25" spans="1:44" s="152" customFormat="1" ht="12.75" customHeight="1" x14ac:dyDescent="0.2">
      <c r="A25" s="105">
        <v>5</v>
      </c>
      <c r="B25" s="12">
        <v>3464</v>
      </c>
      <c r="C25" s="104">
        <v>691001316</v>
      </c>
      <c r="D25" s="104">
        <v>72048140</v>
      </c>
      <c r="E25" s="153" t="s">
        <v>16</v>
      </c>
      <c r="F25" s="12"/>
      <c r="G25" s="153"/>
      <c r="H25" s="407"/>
      <c r="I25" s="782">
        <f t="shared" ref="I25:AR25" si="52">SUM(I23:I24)</f>
        <v>6715477</v>
      </c>
      <c r="J25" s="378">
        <f t="shared" si="52"/>
        <v>4981808</v>
      </c>
      <c r="K25" s="378">
        <f t="shared" si="52"/>
        <v>1683851</v>
      </c>
      <c r="L25" s="378">
        <f t="shared" si="52"/>
        <v>49818</v>
      </c>
      <c r="M25" s="378">
        <f t="shared" si="52"/>
        <v>0</v>
      </c>
      <c r="N25" s="340">
        <f t="shared" si="52"/>
        <v>8.2899999999999991</v>
      </c>
      <c r="O25" s="444">
        <f t="shared" si="52"/>
        <v>-16800</v>
      </c>
      <c r="P25" s="378">
        <f t="shared" si="52"/>
        <v>892908</v>
      </c>
      <c r="Q25" s="378">
        <f t="shared" si="52"/>
        <v>0</v>
      </c>
      <c r="R25" s="378">
        <f t="shared" si="52"/>
        <v>0</v>
      </c>
      <c r="S25" s="378">
        <f t="shared" si="52"/>
        <v>0</v>
      </c>
      <c r="T25" s="378">
        <f t="shared" si="52"/>
        <v>0</v>
      </c>
      <c r="U25" s="378">
        <f t="shared" si="52"/>
        <v>876108</v>
      </c>
      <c r="V25" s="378">
        <f t="shared" si="52"/>
        <v>16800</v>
      </c>
      <c r="W25" s="378">
        <f t="shared" si="52"/>
        <v>0</v>
      </c>
      <c r="X25" s="378">
        <f t="shared" si="52"/>
        <v>0</v>
      </c>
      <c r="Y25" s="378">
        <f t="shared" si="52"/>
        <v>16800</v>
      </c>
      <c r="Z25" s="378">
        <f t="shared" si="52"/>
        <v>892908</v>
      </c>
      <c r="AA25" s="378">
        <f t="shared" si="52"/>
        <v>301803</v>
      </c>
      <c r="AB25" s="378">
        <f t="shared" si="52"/>
        <v>8761</v>
      </c>
      <c r="AC25" s="378">
        <f t="shared" si="52"/>
        <v>0</v>
      </c>
      <c r="AD25" s="788">
        <f t="shared" si="52"/>
        <v>1203472</v>
      </c>
      <c r="AE25" s="790">
        <f t="shared" si="52"/>
        <v>0</v>
      </c>
      <c r="AF25" s="398">
        <f t="shared" si="52"/>
        <v>2.25</v>
      </c>
      <c r="AG25" s="398">
        <f t="shared" si="52"/>
        <v>0</v>
      </c>
      <c r="AH25" s="398">
        <f t="shared" si="52"/>
        <v>0</v>
      </c>
      <c r="AI25" s="398">
        <f t="shared" si="52"/>
        <v>0</v>
      </c>
      <c r="AJ25" s="398">
        <f t="shared" si="52"/>
        <v>0</v>
      </c>
      <c r="AK25" s="340">
        <f t="shared" si="52"/>
        <v>2.25</v>
      </c>
      <c r="AL25" s="444">
        <f t="shared" si="52"/>
        <v>7918949</v>
      </c>
      <c r="AM25" s="378">
        <f t="shared" si="52"/>
        <v>5857916</v>
      </c>
      <c r="AN25" s="378">
        <f t="shared" si="52"/>
        <v>16800</v>
      </c>
      <c r="AO25" s="378">
        <f t="shared" si="52"/>
        <v>1985654</v>
      </c>
      <c r="AP25" s="378">
        <f t="shared" si="52"/>
        <v>58579</v>
      </c>
      <c r="AQ25" s="378">
        <f t="shared" si="52"/>
        <v>0</v>
      </c>
      <c r="AR25" s="398">
        <f t="shared" si="52"/>
        <v>10.54</v>
      </c>
    </row>
    <row r="26" spans="1:44" s="152" customFormat="1" ht="12.75" customHeight="1" x14ac:dyDescent="0.2">
      <c r="A26" s="154">
        <v>6</v>
      </c>
      <c r="B26" s="155">
        <v>3453</v>
      </c>
      <c r="C26" s="155">
        <v>667101411</v>
      </c>
      <c r="D26" s="155">
        <v>75109522</v>
      </c>
      <c r="E26" s="156" t="s">
        <v>17</v>
      </c>
      <c r="F26" s="155">
        <v>3111</v>
      </c>
      <c r="G26" s="156" t="s">
        <v>277</v>
      </c>
      <c r="H26" s="157" t="s">
        <v>262</v>
      </c>
      <c r="I26" s="627">
        <f>SUM(J26:L26)</f>
        <v>5017200</v>
      </c>
      <c r="J26" s="410">
        <v>3721958</v>
      </c>
      <c r="K26" s="431">
        <f>ROUND(J26*33.8%,0)</f>
        <v>1258022</v>
      </c>
      <c r="L26" s="431">
        <f>ROUND(J26*1%,0)</f>
        <v>37220</v>
      </c>
      <c r="M26" s="431">
        <v>0</v>
      </c>
      <c r="N26" s="783">
        <v>6</v>
      </c>
      <c r="O26" s="445">
        <f>V26*-1</f>
        <v>0</v>
      </c>
      <c r="P26" s="325">
        <v>0</v>
      </c>
      <c r="Q26" s="325">
        <v>0</v>
      </c>
      <c r="R26" s="325">
        <v>0</v>
      </c>
      <c r="S26" s="325">
        <v>0</v>
      </c>
      <c r="T26" s="325">
        <v>0</v>
      </c>
      <c r="U26" s="492">
        <f>O26+P26+Q26+R26+S26+T26</f>
        <v>0</v>
      </c>
      <c r="V26" s="325">
        <v>0</v>
      </c>
      <c r="W26" s="325">
        <v>0</v>
      </c>
      <c r="X26" s="325">
        <v>0</v>
      </c>
      <c r="Y26" s="492">
        <f>V26+W26+X26</f>
        <v>0</v>
      </c>
      <c r="Z26" s="492">
        <f>U26+Y26</f>
        <v>0</v>
      </c>
      <c r="AA26" s="494">
        <f>ROUND((U26+Y26)*33.8%,0)</f>
        <v>0</v>
      </c>
      <c r="AB26" s="494">
        <f>ROUND(U26*1%,0)</f>
        <v>0</v>
      </c>
      <c r="AC26" s="492">
        <v>0</v>
      </c>
      <c r="AD26" s="789">
        <f>Z26+AA26+AB26+AC26</f>
        <v>0</v>
      </c>
      <c r="AE26" s="715">
        <v>0</v>
      </c>
      <c r="AF26" s="326">
        <v>0</v>
      </c>
      <c r="AG26" s="326">
        <v>0</v>
      </c>
      <c r="AH26" s="326">
        <v>0</v>
      </c>
      <c r="AI26" s="326">
        <v>0</v>
      </c>
      <c r="AJ26" s="326">
        <v>0</v>
      </c>
      <c r="AK26" s="626">
        <f>SUM(AE26:AJ26)</f>
        <v>0</v>
      </c>
      <c r="AL26" s="493">
        <f>I26+AD26</f>
        <v>5017200</v>
      </c>
      <c r="AM26" s="492">
        <f>J26+U26</f>
        <v>3721958</v>
      </c>
      <c r="AN26" s="492">
        <f>Y26</f>
        <v>0</v>
      </c>
      <c r="AO26" s="492">
        <f>K26+AA26</f>
        <v>1258022</v>
      </c>
      <c r="AP26" s="492">
        <f>L26+AB26</f>
        <v>37220</v>
      </c>
      <c r="AQ26" s="578">
        <f>M26+AC26</f>
        <v>0</v>
      </c>
      <c r="AR26" s="491">
        <f>N26+AK26</f>
        <v>6</v>
      </c>
    </row>
    <row r="27" spans="1:44" s="152" customFormat="1" ht="12.75" customHeight="1" x14ac:dyDescent="0.2">
      <c r="A27" s="105">
        <v>6</v>
      </c>
      <c r="B27" s="12">
        <v>3453</v>
      </c>
      <c r="C27" s="104">
        <v>667101411</v>
      </c>
      <c r="D27" s="104">
        <v>75109522</v>
      </c>
      <c r="E27" s="153" t="s">
        <v>18</v>
      </c>
      <c r="F27" s="12"/>
      <c r="G27" s="153"/>
      <c r="H27" s="407"/>
      <c r="I27" s="782">
        <f t="shared" ref="I27:AR27" si="53">SUM(I26:I26)</f>
        <v>5017200</v>
      </c>
      <c r="J27" s="378">
        <f t="shared" si="53"/>
        <v>3721958</v>
      </c>
      <c r="K27" s="378">
        <f t="shared" si="53"/>
        <v>1258022</v>
      </c>
      <c r="L27" s="378">
        <f t="shared" si="53"/>
        <v>37220</v>
      </c>
      <c r="M27" s="378">
        <f t="shared" si="53"/>
        <v>0</v>
      </c>
      <c r="N27" s="340">
        <f t="shared" si="53"/>
        <v>6</v>
      </c>
      <c r="O27" s="444">
        <f t="shared" si="53"/>
        <v>0</v>
      </c>
      <c r="P27" s="378">
        <f t="shared" si="53"/>
        <v>0</v>
      </c>
      <c r="Q27" s="378">
        <f t="shared" si="53"/>
        <v>0</v>
      </c>
      <c r="R27" s="378">
        <f t="shared" si="53"/>
        <v>0</v>
      </c>
      <c r="S27" s="378">
        <f t="shared" si="53"/>
        <v>0</v>
      </c>
      <c r="T27" s="378">
        <f t="shared" si="53"/>
        <v>0</v>
      </c>
      <c r="U27" s="378">
        <f t="shared" si="53"/>
        <v>0</v>
      </c>
      <c r="V27" s="378">
        <f t="shared" si="53"/>
        <v>0</v>
      </c>
      <c r="W27" s="378">
        <f t="shared" si="53"/>
        <v>0</v>
      </c>
      <c r="X27" s="378">
        <f t="shared" si="53"/>
        <v>0</v>
      </c>
      <c r="Y27" s="378">
        <f t="shared" si="53"/>
        <v>0</v>
      </c>
      <c r="Z27" s="378">
        <f t="shared" si="53"/>
        <v>0</v>
      </c>
      <c r="AA27" s="378">
        <f t="shared" si="53"/>
        <v>0</v>
      </c>
      <c r="AB27" s="378">
        <f t="shared" si="53"/>
        <v>0</v>
      </c>
      <c r="AC27" s="378">
        <f t="shared" si="53"/>
        <v>0</v>
      </c>
      <c r="AD27" s="788">
        <f t="shared" si="53"/>
        <v>0</v>
      </c>
      <c r="AE27" s="790">
        <f t="shared" si="53"/>
        <v>0</v>
      </c>
      <c r="AF27" s="398">
        <f t="shared" si="53"/>
        <v>0</v>
      </c>
      <c r="AG27" s="398">
        <f t="shared" si="53"/>
        <v>0</v>
      </c>
      <c r="AH27" s="398">
        <f t="shared" si="53"/>
        <v>0</v>
      </c>
      <c r="AI27" s="398">
        <f t="shared" si="53"/>
        <v>0</v>
      </c>
      <c r="AJ27" s="398">
        <f t="shared" si="53"/>
        <v>0</v>
      </c>
      <c r="AK27" s="340">
        <f t="shared" si="53"/>
        <v>0</v>
      </c>
      <c r="AL27" s="444">
        <f t="shared" si="53"/>
        <v>5017200</v>
      </c>
      <c r="AM27" s="378">
        <f t="shared" si="53"/>
        <v>3721958</v>
      </c>
      <c r="AN27" s="378">
        <f t="shared" si="53"/>
        <v>0</v>
      </c>
      <c r="AO27" s="378">
        <f t="shared" si="53"/>
        <v>1258022</v>
      </c>
      <c r="AP27" s="378">
        <f t="shared" si="53"/>
        <v>37220</v>
      </c>
      <c r="AQ27" s="378">
        <f t="shared" si="53"/>
        <v>0</v>
      </c>
      <c r="AR27" s="398">
        <f t="shared" si="53"/>
        <v>6</v>
      </c>
    </row>
    <row r="28" spans="1:44" s="152" customFormat="1" ht="12.75" customHeight="1" x14ac:dyDescent="0.2">
      <c r="A28" s="154">
        <v>7</v>
      </c>
      <c r="B28" s="155">
        <v>3471</v>
      </c>
      <c r="C28" s="155">
        <v>691003491</v>
      </c>
      <c r="D28" s="155">
        <v>72550376</v>
      </c>
      <c r="E28" s="156" t="s">
        <v>19</v>
      </c>
      <c r="F28" s="155">
        <v>3111</v>
      </c>
      <c r="G28" s="156" t="s">
        <v>277</v>
      </c>
      <c r="H28" s="157" t="s">
        <v>262</v>
      </c>
      <c r="I28" s="627">
        <f>SUM(J28:L28)</f>
        <v>6537544</v>
      </c>
      <c r="J28" s="410">
        <v>4849810</v>
      </c>
      <c r="K28" s="431">
        <f t="shared" ref="K28:K29" si="54">ROUND(J28*33.8%,0)</f>
        <v>1639236</v>
      </c>
      <c r="L28" s="431">
        <f t="shared" ref="L28:L29" si="55">ROUND(J28*1%,0)</f>
        <v>48498</v>
      </c>
      <c r="M28" s="431">
        <v>0</v>
      </c>
      <c r="N28" s="783">
        <v>8</v>
      </c>
      <c r="O28" s="445">
        <f>V28*-1</f>
        <v>0</v>
      </c>
      <c r="P28" s="325">
        <v>0</v>
      </c>
      <c r="Q28" s="325">
        <v>0</v>
      </c>
      <c r="R28" s="325">
        <v>0</v>
      </c>
      <c r="S28" s="325">
        <v>0</v>
      </c>
      <c r="T28" s="325">
        <v>0</v>
      </c>
      <c r="U28" s="492">
        <f t="shared" ref="U28:U29" si="56">O28+P28+Q28+R28+S28+T28</f>
        <v>0</v>
      </c>
      <c r="V28" s="325">
        <v>0</v>
      </c>
      <c r="W28" s="325">
        <v>0</v>
      </c>
      <c r="X28" s="325">
        <v>0</v>
      </c>
      <c r="Y28" s="492">
        <f t="shared" ref="Y28:Y29" si="57">V28+W28+X28</f>
        <v>0</v>
      </c>
      <c r="Z28" s="492">
        <f t="shared" ref="Z28:Z29" si="58">U28+Y28</f>
        <v>0</v>
      </c>
      <c r="AA28" s="494">
        <f t="shared" ref="AA28:AA29" si="59">ROUND((U28+Y28)*33.8%,0)</f>
        <v>0</v>
      </c>
      <c r="AB28" s="494">
        <f t="shared" ref="AB28:AB29" si="60">ROUND(U28*1%,0)</f>
        <v>0</v>
      </c>
      <c r="AC28" s="492">
        <v>0</v>
      </c>
      <c r="AD28" s="789">
        <f t="shared" ref="AD28:AD29" si="61">Z28+AA28+AB28+AC28</f>
        <v>0</v>
      </c>
      <c r="AE28" s="715">
        <v>0</v>
      </c>
      <c r="AF28" s="326">
        <v>0</v>
      </c>
      <c r="AG28" s="326">
        <v>0</v>
      </c>
      <c r="AH28" s="326">
        <v>0</v>
      </c>
      <c r="AI28" s="326">
        <v>0</v>
      </c>
      <c r="AJ28" s="326">
        <v>0</v>
      </c>
      <c r="AK28" s="626">
        <f t="shared" ref="AK28:AK29" si="62">SUM(AE28:AJ28)</f>
        <v>0</v>
      </c>
      <c r="AL28" s="493">
        <f>I28+AD28</f>
        <v>6537544</v>
      </c>
      <c r="AM28" s="492">
        <f>J28+U28</f>
        <v>4849810</v>
      </c>
      <c r="AN28" s="492">
        <f t="shared" ref="AN28:AN29" si="63">Y28</f>
        <v>0</v>
      </c>
      <c r="AO28" s="492">
        <f>K28+AA28</f>
        <v>1639236</v>
      </c>
      <c r="AP28" s="492">
        <f>L28+AB28</f>
        <v>48498</v>
      </c>
      <c r="AQ28" s="578">
        <f t="shared" ref="AQ28:AQ29" si="64">M28+AC28</f>
        <v>0</v>
      </c>
      <c r="AR28" s="491">
        <f t="shared" ref="AR28:AR29" si="65">N28+AK28</f>
        <v>8</v>
      </c>
    </row>
    <row r="29" spans="1:44" s="152" customFormat="1" ht="12.75" customHeight="1" x14ac:dyDescent="0.2">
      <c r="A29" s="154">
        <v>7</v>
      </c>
      <c r="B29" s="155">
        <v>3471</v>
      </c>
      <c r="C29" s="155">
        <v>691003491</v>
      </c>
      <c r="D29" s="155">
        <v>72550376</v>
      </c>
      <c r="E29" s="156" t="s">
        <v>19</v>
      </c>
      <c r="F29" s="155">
        <v>3111</v>
      </c>
      <c r="G29" s="156" t="s">
        <v>278</v>
      </c>
      <c r="H29" s="157" t="s">
        <v>263</v>
      </c>
      <c r="I29" s="586">
        <f>SUM(J29:L29)</f>
        <v>0</v>
      </c>
      <c r="J29" s="323"/>
      <c r="K29" s="431">
        <f t="shared" si="54"/>
        <v>0</v>
      </c>
      <c r="L29" s="431">
        <f t="shared" si="55"/>
        <v>0</v>
      </c>
      <c r="M29" s="431">
        <v>0</v>
      </c>
      <c r="N29" s="784">
        <v>0</v>
      </c>
      <c r="O29" s="440">
        <f>V29*-1</f>
        <v>0</v>
      </c>
      <c r="P29" s="325">
        <v>0</v>
      </c>
      <c r="Q29" s="325">
        <v>0</v>
      </c>
      <c r="R29" s="325">
        <v>0</v>
      </c>
      <c r="S29" s="325">
        <v>0</v>
      </c>
      <c r="T29" s="325">
        <v>0</v>
      </c>
      <c r="U29" s="492">
        <f t="shared" si="56"/>
        <v>0</v>
      </c>
      <c r="V29" s="325">
        <v>0</v>
      </c>
      <c r="W29" s="325">
        <v>0</v>
      </c>
      <c r="X29" s="325">
        <v>0</v>
      </c>
      <c r="Y29" s="492">
        <f t="shared" si="57"/>
        <v>0</v>
      </c>
      <c r="Z29" s="492">
        <f t="shared" si="58"/>
        <v>0</v>
      </c>
      <c r="AA29" s="494">
        <f t="shared" si="59"/>
        <v>0</v>
      </c>
      <c r="AB29" s="494">
        <f t="shared" si="60"/>
        <v>0</v>
      </c>
      <c r="AC29" s="492">
        <v>0</v>
      </c>
      <c r="AD29" s="789">
        <f t="shared" si="61"/>
        <v>0</v>
      </c>
      <c r="AE29" s="715">
        <v>0</v>
      </c>
      <c r="AF29" s="326">
        <v>0</v>
      </c>
      <c r="AG29" s="326">
        <v>0</v>
      </c>
      <c r="AH29" s="326">
        <v>0</v>
      </c>
      <c r="AI29" s="326">
        <v>0</v>
      </c>
      <c r="AJ29" s="326">
        <v>0</v>
      </c>
      <c r="AK29" s="626">
        <f t="shared" si="62"/>
        <v>0</v>
      </c>
      <c r="AL29" s="493">
        <f>I29+AD29</f>
        <v>0</v>
      </c>
      <c r="AM29" s="492">
        <f>J29+U29</f>
        <v>0</v>
      </c>
      <c r="AN29" s="492">
        <f t="shared" si="63"/>
        <v>0</v>
      </c>
      <c r="AO29" s="492">
        <f>K29+AA29</f>
        <v>0</v>
      </c>
      <c r="AP29" s="492">
        <f>L29+AB29</f>
        <v>0</v>
      </c>
      <c r="AQ29" s="578">
        <f t="shared" si="64"/>
        <v>0</v>
      </c>
      <c r="AR29" s="491">
        <f t="shared" si="65"/>
        <v>0</v>
      </c>
    </row>
    <row r="30" spans="1:44" s="152" customFormat="1" ht="12.75" customHeight="1" x14ac:dyDescent="0.2">
      <c r="A30" s="105">
        <v>7</v>
      </c>
      <c r="B30" s="12">
        <v>3471</v>
      </c>
      <c r="C30" s="104">
        <v>691003491</v>
      </c>
      <c r="D30" s="104">
        <v>72550376</v>
      </c>
      <c r="E30" s="153" t="s">
        <v>20</v>
      </c>
      <c r="F30" s="12"/>
      <c r="G30" s="153"/>
      <c r="H30" s="407"/>
      <c r="I30" s="782">
        <f t="shared" ref="I30:AR30" si="66">SUM(I28:I29)</f>
        <v>6537544</v>
      </c>
      <c r="J30" s="378">
        <f t="shared" si="66"/>
        <v>4849810</v>
      </c>
      <c r="K30" s="378">
        <f t="shared" si="66"/>
        <v>1639236</v>
      </c>
      <c r="L30" s="378">
        <f t="shared" si="66"/>
        <v>48498</v>
      </c>
      <c r="M30" s="378">
        <f t="shared" si="66"/>
        <v>0</v>
      </c>
      <c r="N30" s="340">
        <f t="shared" si="66"/>
        <v>8</v>
      </c>
      <c r="O30" s="444">
        <f t="shared" si="66"/>
        <v>0</v>
      </c>
      <c r="P30" s="378">
        <f t="shared" si="66"/>
        <v>0</v>
      </c>
      <c r="Q30" s="378">
        <f t="shared" si="66"/>
        <v>0</v>
      </c>
      <c r="R30" s="378">
        <f t="shared" si="66"/>
        <v>0</v>
      </c>
      <c r="S30" s="378">
        <f t="shared" si="66"/>
        <v>0</v>
      </c>
      <c r="T30" s="378">
        <f t="shared" si="66"/>
        <v>0</v>
      </c>
      <c r="U30" s="378">
        <f t="shared" si="66"/>
        <v>0</v>
      </c>
      <c r="V30" s="378">
        <f t="shared" si="66"/>
        <v>0</v>
      </c>
      <c r="W30" s="378">
        <f t="shared" si="66"/>
        <v>0</v>
      </c>
      <c r="X30" s="378">
        <f t="shared" si="66"/>
        <v>0</v>
      </c>
      <c r="Y30" s="378">
        <f t="shared" si="66"/>
        <v>0</v>
      </c>
      <c r="Z30" s="378">
        <f t="shared" si="66"/>
        <v>0</v>
      </c>
      <c r="AA30" s="378">
        <f t="shared" si="66"/>
        <v>0</v>
      </c>
      <c r="AB30" s="378">
        <f t="shared" si="66"/>
        <v>0</v>
      </c>
      <c r="AC30" s="378">
        <f t="shared" si="66"/>
        <v>0</v>
      </c>
      <c r="AD30" s="788">
        <f t="shared" si="66"/>
        <v>0</v>
      </c>
      <c r="AE30" s="790">
        <f t="shared" si="66"/>
        <v>0</v>
      </c>
      <c r="AF30" s="398">
        <f t="shared" si="66"/>
        <v>0</v>
      </c>
      <c r="AG30" s="398">
        <f t="shared" si="66"/>
        <v>0</v>
      </c>
      <c r="AH30" s="398">
        <f t="shared" si="66"/>
        <v>0</v>
      </c>
      <c r="AI30" s="398">
        <f t="shared" si="66"/>
        <v>0</v>
      </c>
      <c r="AJ30" s="398">
        <f t="shared" si="66"/>
        <v>0</v>
      </c>
      <c r="AK30" s="340">
        <f t="shared" si="66"/>
        <v>0</v>
      </c>
      <c r="AL30" s="444">
        <f t="shared" si="66"/>
        <v>6537544</v>
      </c>
      <c r="AM30" s="378">
        <f t="shared" si="66"/>
        <v>4849810</v>
      </c>
      <c r="AN30" s="378">
        <f t="shared" si="66"/>
        <v>0</v>
      </c>
      <c r="AO30" s="378">
        <f t="shared" si="66"/>
        <v>1639236</v>
      </c>
      <c r="AP30" s="378">
        <f t="shared" si="66"/>
        <v>48498</v>
      </c>
      <c r="AQ30" s="378">
        <f t="shared" si="66"/>
        <v>0</v>
      </c>
      <c r="AR30" s="398">
        <f t="shared" si="66"/>
        <v>8</v>
      </c>
    </row>
    <row r="31" spans="1:44" s="152" customFormat="1" ht="12.75" customHeight="1" x14ac:dyDescent="0.2">
      <c r="A31" s="154">
        <v>8</v>
      </c>
      <c r="B31" s="155">
        <v>3472</v>
      </c>
      <c r="C31" s="155">
        <v>691003564</v>
      </c>
      <c r="D31" s="155">
        <v>72550368</v>
      </c>
      <c r="E31" s="156" t="s">
        <v>21</v>
      </c>
      <c r="F31" s="155">
        <v>3111</v>
      </c>
      <c r="G31" s="156" t="s">
        <v>277</v>
      </c>
      <c r="H31" s="157" t="s">
        <v>262</v>
      </c>
      <c r="I31" s="627">
        <f>SUM(J31:L31)</f>
        <v>4567952</v>
      </c>
      <c r="J31" s="410">
        <v>3388688</v>
      </c>
      <c r="K31" s="431">
        <f t="shared" ref="K31:K32" si="67">ROUND(J31*33.8%,0)</f>
        <v>1145377</v>
      </c>
      <c r="L31" s="431">
        <f t="shared" ref="L31:L32" si="68">ROUND(J31*1%,0)</f>
        <v>33887</v>
      </c>
      <c r="M31" s="431">
        <v>0</v>
      </c>
      <c r="N31" s="783">
        <v>6</v>
      </c>
      <c r="O31" s="445">
        <f>V31*-1</f>
        <v>0</v>
      </c>
      <c r="P31" s="325">
        <v>0</v>
      </c>
      <c r="Q31" s="325">
        <v>0</v>
      </c>
      <c r="R31" s="325">
        <v>0</v>
      </c>
      <c r="S31" s="325">
        <v>0</v>
      </c>
      <c r="T31" s="325">
        <v>0</v>
      </c>
      <c r="U31" s="492">
        <f t="shared" ref="U31:U32" si="69">O31+P31+Q31+R31+S31+T31</f>
        <v>0</v>
      </c>
      <c r="V31" s="325">
        <v>0</v>
      </c>
      <c r="W31" s="325">
        <v>0</v>
      </c>
      <c r="X31" s="325">
        <v>0</v>
      </c>
      <c r="Y31" s="492">
        <f t="shared" ref="Y31:Y32" si="70">V31+W31+X31</f>
        <v>0</v>
      </c>
      <c r="Z31" s="492">
        <f t="shared" ref="Z31:Z32" si="71">U31+Y31</f>
        <v>0</v>
      </c>
      <c r="AA31" s="494">
        <f t="shared" ref="AA31:AA32" si="72">ROUND((U31+Y31)*33.8%,0)</f>
        <v>0</v>
      </c>
      <c r="AB31" s="494">
        <f t="shared" ref="AB31:AB32" si="73">ROUND(U31*1%,0)</f>
        <v>0</v>
      </c>
      <c r="AC31" s="492">
        <v>0</v>
      </c>
      <c r="AD31" s="789">
        <f t="shared" ref="AD31:AD32" si="74">Z31+AA31+AB31+AC31</f>
        <v>0</v>
      </c>
      <c r="AE31" s="715">
        <v>0</v>
      </c>
      <c r="AF31" s="326">
        <v>0</v>
      </c>
      <c r="AG31" s="326">
        <v>0</v>
      </c>
      <c r="AH31" s="326">
        <v>0</v>
      </c>
      <c r="AI31" s="326">
        <v>0</v>
      </c>
      <c r="AJ31" s="326">
        <v>0</v>
      </c>
      <c r="AK31" s="626">
        <f t="shared" ref="AK31:AK32" si="75">SUM(AE31:AJ31)</f>
        <v>0</v>
      </c>
      <c r="AL31" s="493">
        <f>I31+AD31</f>
        <v>4567952</v>
      </c>
      <c r="AM31" s="492">
        <f>J31+U31</f>
        <v>3388688</v>
      </c>
      <c r="AN31" s="492">
        <f t="shared" ref="AN31:AN32" si="76">Y31</f>
        <v>0</v>
      </c>
      <c r="AO31" s="492">
        <f>K31+AA31</f>
        <v>1145377</v>
      </c>
      <c r="AP31" s="492">
        <f>L31+AB31</f>
        <v>33887</v>
      </c>
      <c r="AQ31" s="578">
        <f t="shared" ref="AQ31:AQ32" si="77">M31+AC31</f>
        <v>0</v>
      </c>
      <c r="AR31" s="491">
        <f t="shared" ref="AR31:AR32" si="78">N31+AK31</f>
        <v>6</v>
      </c>
    </row>
    <row r="32" spans="1:44" s="152" customFormat="1" ht="12.75" customHeight="1" x14ac:dyDescent="0.2">
      <c r="A32" s="154">
        <v>8</v>
      </c>
      <c r="B32" s="155">
        <v>3472</v>
      </c>
      <c r="C32" s="155">
        <v>691003564</v>
      </c>
      <c r="D32" s="155">
        <v>72550368</v>
      </c>
      <c r="E32" s="156" t="s">
        <v>21</v>
      </c>
      <c r="F32" s="155">
        <v>3111</v>
      </c>
      <c r="G32" s="156" t="s">
        <v>278</v>
      </c>
      <c r="H32" s="157" t="s">
        <v>263</v>
      </c>
      <c r="I32" s="586">
        <f>SUM(J32:L32)</f>
        <v>0</v>
      </c>
      <c r="J32" s="323"/>
      <c r="K32" s="431">
        <f t="shared" si="67"/>
        <v>0</v>
      </c>
      <c r="L32" s="431">
        <f t="shared" si="68"/>
        <v>0</v>
      </c>
      <c r="M32" s="431">
        <v>0</v>
      </c>
      <c r="N32" s="784">
        <v>0</v>
      </c>
      <c r="O32" s="440">
        <f>V32*-1</f>
        <v>0</v>
      </c>
      <c r="P32" s="325">
        <v>496060</v>
      </c>
      <c r="Q32" s="325">
        <v>0</v>
      </c>
      <c r="R32" s="325">
        <v>0</v>
      </c>
      <c r="S32" s="325">
        <v>0</v>
      </c>
      <c r="T32" s="325">
        <v>0</v>
      </c>
      <c r="U32" s="492">
        <f t="shared" si="69"/>
        <v>496060</v>
      </c>
      <c r="V32" s="325">
        <v>0</v>
      </c>
      <c r="W32" s="325">
        <v>0</v>
      </c>
      <c r="X32" s="325">
        <v>0</v>
      </c>
      <c r="Y32" s="492">
        <f t="shared" si="70"/>
        <v>0</v>
      </c>
      <c r="Z32" s="492">
        <f t="shared" si="71"/>
        <v>496060</v>
      </c>
      <c r="AA32" s="494">
        <f t="shared" si="72"/>
        <v>167668</v>
      </c>
      <c r="AB32" s="494">
        <f t="shared" si="73"/>
        <v>4961</v>
      </c>
      <c r="AC32" s="492">
        <v>0</v>
      </c>
      <c r="AD32" s="789">
        <f t="shared" si="74"/>
        <v>668689</v>
      </c>
      <c r="AE32" s="715">
        <v>0</v>
      </c>
      <c r="AF32" s="326">
        <v>1.25</v>
      </c>
      <c r="AG32" s="326">
        <v>0</v>
      </c>
      <c r="AH32" s="326">
        <v>0</v>
      </c>
      <c r="AI32" s="326">
        <v>0</v>
      </c>
      <c r="AJ32" s="326">
        <v>0</v>
      </c>
      <c r="AK32" s="626">
        <f t="shared" si="75"/>
        <v>1.25</v>
      </c>
      <c r="AL32" s="493">
        <f>I32+AD32</f>
        <v>668689</v>
      </c>
      <c r="AM32" s="492">
        <f>J32+U32</f>
        <v>496060</v>
      </c>
      <c r="AN32" s="492">
        <f t="shared" si="76"/>
        <v>0</v>
      </c>
      <c r="AO32" s="492">
        <f>K32+AA32</f>
        <v>167668</v>
      </c>
      <c r="AP32" s="492">
        <f>L32+AB32</f>
        <v>4961</v>
      </c>
      <c r="AQ32" s="578">
        <f t="shared" si="77"/>
        <v>0</v>
      </c>
      <c r="AR32" s="491">
        <f t="shared" si="78"/>
        <v>1.25</v>
      </c>
    </row>
    <row r="33" spans="1:44" s="152" customFormat="1" ht="12.75" customHeight="1" x14ac:dyDescent="0.2">
      <c r="A33" s="105">
        <v>8</v>
      </c>
      <c r="B33" s="12">
        <v>3472</v>
      </c>
      <c r="C33" s="104">
        <v>691003564</v>
      </c>
      <c r="D33" s="104">
        <v>72550368</v>
      </c>
      <c r="E33" s="153" t="s">
        <v>22</v>
      </c>
      <c r="F33" s="12"/>
      <c r="G33" s="153"/>
      <c r="H33" s="407"/>
      <c r="I33" s="782">
        <f t="shared" ref="I33:AR33" si="79">SUM(I31:I32)</f>
        <v>4567952</v>
      </c>
      <c r="J33" s="378">
        <f t="shared" si="79"/>
        <v>3388688</v>
      </c>
      <c r="K33" s="378">
        <f t="shared" si="79"/>
        <v>1145377</v>
      </c>
      <c r="L33" s="378">
        <f t="shared" si="79"/>
        <v>33887</v>
      </c>
      <c r="M33" s="378">
        <f t="shared" si="79"/>
        <v>0</v>
      </c>
      <c r="N33" s="340">
        <f t="shared" si="79"/>
        <v>6</v>
      </c>
      <c r="O33" s="444">
        <f t="shared" si="79"/>
        <v>0</v>
      </c>
      <c r="P33" s="378">
        <f t="shared" si="79"/>
        <v>496060</v>
      </c>
      <c r="Q33" s="378">
        <f t="shared" si="79"/>
        <v>0</v>
      </c>
      <c r="R33" s="378">
        <f t="shared" si="79"/>
        <v>0</v>
      </c>
      <c r="S33" s="378">
        <f t="shared" si="79"/>
        <v>0</v>
      </c>
      <c r="T33" s="378">
        <f t="shared" si="79"/>
        <v>0</v>
      </c>
      <c r="U33" s="378">
        <f t="shared" si="79"/>
        <v>496060</v>
      </c>
      <c r="V33" s="378">
        <f t="shared" si="79"/>
        <v>0</v>
      </c>
      <c r="W33" s="378">
        <f t="shared" si="79"/>
        <v>0</v>
      </c>
      <c r="X33" s="378">
        <f t="shared" si="79"/>
        <v>0</v>
      </c>
      <c r="Y33" s="378">
        <f t="shared" si="79"/>
        <v>0</v>
      </c>
      <c r="Z33" s="378">
        <f t="shared" si="79"/>
        <v>496060</v>
      </c>
      <c r="AA33" s="378">
        <f t="shared" si="79"/>
        <v>167668</v>
      </c>
      <c r="AB33" s="378">
        <f t="shared" si="79"/>
        <v>4961</v>
      </c>
      <c r="AC33" s="378">
        <f t="shared" si="79"/>
        <v>0</v>
      </c>
      <c r="AD33" s="788">
        <f t="shared" si="79"/>
        <v>668689</v>
      </c>
      <c r="AE33" s="790">
        <f t="shared" si="79"/>
        <v>0</v>
      </c>
      <c r="AF33" s="398">
        <f t="shared" si="79"/>
        <v>1.25</v>
      </c>
      <c r="AG33" s="398">
        <f t="shared" si="79"/>
        <v>0</v>
      </c>
      <c r="AH33" s="398">
        <f t="shared" si="79"/>
        <v>0</v>
      </c>
      <c r="AI33" s="398">
        <f t="shared" si="79"/>
        <v>0</v>
      </c>
      <c r="AJ33" s="398">
        <f t="shared" si="79"/>
        <v>0</v>
      </c>
      <c r="AK33" s="340">
        <f t="shared" si="79"/>
        <v>1.25</v>
      </c>
      <c r="AL33" s="444">
        <f t="shared" si="79"/>
        <v>5236641</v>
      </c>
      <c r="AM33" s="378">
        <f t="shared" si="79"/>
        <v>3884748</v>
      </c>
      <c r="AN33" s="378">
        <f t="shared" si="79"/>
        <v>0</v>
      </c>
      <c r="AO33" s="378">
        <f t="shared" si="79"/>
        <v>1313045</v>
      </c>
      <c r="AP33" s="378">
        <f t="shared" si="79"/>
        <v>38848</v>
      </c>
      <c r="AQ33" s="378">
        <f t="shared" si="79"/>
        <v>0</v>
      </c>
      <c r="AR33" s="398">
        <f t="shared" si="79"/>
        <v>7.25</v>
      </c>
    </row>
    <row r="34" spans="1:44" s="152" customFormat="1" ht="12.75" customHeight="1" x14ac:dyDescent="0.2">
      <c r="A34" s="154">
        <v>9</v>
      </c>
      <c r="B34" s="155">
        <v>3467</v>
      </c>
      <c r="C34" s="155">
        <v>691001243</v>
      </c>
      <c r="D34" s="155">
        <v>72048174</v>
      </c>
      <c r="E34" s="156" t="s">
        <v>23</v>
      </c>
      <c r="F34" s="155">
        <v>3111</v>
      </c>
      <c r="G34" s="156" t="s">
        <v>277</v>
      </c>
      <c r="H34" s="157" t="s">
        <v>262</v>
      </c>
      <c r="I34" s="627">
        <f>SUM(J34:L34)</f>
        <v>8396564</v>
      </c>
      <c r="J34" s="410">
        <v>6228905</v>
      </c>
      <c r="K34" s="431">
        <f t="shared" ref="K34:K35" si="80">ROUND(J34*33.8%,0)</f>
        <v>2105370</v>
      </c>
      <c r="L34" s="431">
        <f t="shared" ref="L34:L35" si="81">ROUND(J34*1%,0)</f>
        <v>62289</v>
      </c>
      <c r="M34" s="431">
        <v>0</v>
      </c>
      <c r="N34" s="783">
        <v>10.55</v>
      </c>
      <c r="O34" s="445">
        <f>V34*-1</f>
        <v>0</v>
      </c>
      <c r="P34" s="325">
        <v>0</v>
      </c>
      <c r="Q34" s="325">
        <v>0</v>
      </c>
      <c r="R34" s="325">
        <v>0</v>
      </c>
      <c r="S34" s="325">
        <v>0</v>
      </c>
      <c r="T34" s="325">
        <v>0</v>
      </c>
      <c r="U34" s="492">
        <f t="shared" ref="U34:U35" si="82">O34+P34+Q34+R34+S34+T34</f>
        <v>0</v>
      </c>
      <c r="V34" s="325">
        <v>0</v>
      </c>
      <c r="W34" s="325">
        <v>0</v>
      </c>
      <c r="X34" s="325">
        <v>0</v>
      </c>
      <c r="Y34" s="492">
        <f t="shared" ref="Y34:Y35" si="83">V34+W34+X34</f>
        <v>0</v>
      </c>
      <c r="Z34" s="492">
        <f t="shared" ref="Z34:Z35" si="84">U34+Y34</f>
        <v>0</v>
      </c>
      <c r="AA34" s="494">
        <f t="shared" ref="AA34:AA35" si="85">ROUND((U34+Y34)*33.8%,0)</f>
        <v>0</v>
      </c>
      <c r="AB34" s="494">
        <f t="shared" ref="AB34:AB35" si="86">ROUND(U34*1%,0)</f>
        <v>0</v>
      </c>
      <c r="AC34" s="492">
        <v>0</v>
      </c>
      <c r="AD34" s="789">
        <f t="shared" ref="AD34:AD35" si="87">Z34+AA34+AB34+AC34</f>
        <v>0</v>
      </c>
      <c r="AE34" s="715">
        <v>0</v>
      </c>
      <c r="AF34" s="326">
        <v>0</v>
      </c>
      <c r="AG34" s="326">
        <v>0</v>
      </c>
      <c r="AH34" s="326">
        <v>0</v>
      </c>
      <c r="AI34" s="326">
        <v>0</v>
      </c>
      <c r="AJ34" s="326">
        <v>0</v>
      </c>
      <c r="AK34" s="626">
        <f t="shared" ref="AK34:AK35" si="88">SUM(AE34:AJ34)</f>
        <v>0</v>
      </c>
      <c r="AL34" s="493">
        <f>I34+AD34</f>
        <v>8396564</v>
      </c>
      <c r="AM34" s="492">
        <f>J34+U34</f>
        <v>6228905</v>
      </c>
      <c r="AN34" s="492">
        <f t="shared" ref="AN34:AN35" si="89">Y34</f>
        <v>0</v>
      </c>
      <c r="AO34" s="492">
        <f>K34+AA34</f>
        <v>2105370</v>
      </c>
      <c r="AP34" s="492">
        <f>L34+AB34</f>
        <v>62289</v>
      </c>
      <c r="AQ34" s="578">
        <f t="shared" ref="AQ34:AQ35" si="90">M34+AC34</f>
        <v>0</v>
      </c>
      <c r="AR34" s="491">
        <f t="shared" ref="AR34:AR35" si="91">N34+AK34</f>
        <v>10.55</v>
      </c>
    </row>
    <row r="35" spans="1:44" s="152" customFormat="1" x14ac:dyDescent="0.2">
      <c r="A35" s="154">
        <v>9</v>
      </c>
      <c r="B35" s="155">
        <v>3467</v>
      </c>
      <c r="C35" s="155">
        <v>691001243</v>
      </c>
      <c r="D35" s="155">
        <v>72048174</v>
      </c>
      <c r="E35" s="156" t="s">
        <v>23</v>
      </c>
      <c r="F35" s="155">
        <v>3111</v>
      </c>
      <c r="G35" s="156" t="s">
        <v>278</v>
      </c>
      <c r="H35" s="157" t="s">
        <v>263</v>
      </c>
      <c r="I35" s="586">
        <f>SUM(J35:L35)</f>
        <v>0</v>
      </c>
      <c r="J35" s="323"/>
      <c r="K35" s="431">
        <f t="shared" si="80"/>
        <v>0</v>
      </c>
      <c r="L35" s="431">
        <f t="shared" si="81"/>
        <v>0</v>
      </c>
      <c r="M35" s="431">
        <v>0</v>
      </c>
      <c r="N35" s="784">
        <v>0</v>
      </c>
      <c r="O35" s="440">
        <f>V35*-1</f>
        <v>0</v>
      </c>
      <c r="P35" s="325">
        <v>694483</v>
      </c>
      <c r="Q35" s="325">
        <v>0</v>
      </c>
      <c r="R35" s="325">
        <v>0</v>
      </c>
      <c r="S35" s="325">
        <v>0</v>
      </c>
      <c r="T35" s="325">
        <v>0</v>
      </c>
      <c r="U35" s="492">
        <f t="shared" si="82"/>
        <v>694483</v>
      </c>
      <c r="V35" s="325">
        <v>0</v>
      </c>
      <c r="W35" s="325">
        <v>0</v>
      </c>
      <c r="X35" s="325">
        <v>0</v>
      </c>
      <c r="Y35" s="492">
        <f t="shared" si="83"/>
        <v>0</v>
      </c>
      <c r="Z35" s="492">
        <f t="shared" si="84"/>
        <v>694483</v>
      </c>
      <c r="AA35" s="494">
        <f t="shared" si="85"/>
        <v>234735</v>
      </c>
      <c r="AB35" s="494">
        <f t="shared" si="86"/>
        <v>6945</v>
      </c>
      <c r="AC35" s="492">
        <v>0</v>
      </c>
      <c r="AD35" s="789">
        <f t="shared" si="87"/>
        <v>936163</v>
      </c>
      <c r="AE35" s="715">
        <v>0</v>
      </c>
      <c r="AF35" s="326">
        <v>1.75</v>
      </c>
      <c r="AG35" s="326">
        <v>0</v>
      </c>
      <c r="AH35" s="326">
        <v>0</v>
      </c>
      <c r="AI35" s="326">
        <v>0</v>
      </c>
      <c r="AJ35" s="326">
        <v>0</v>
      </c>
      <c r="AK35" s="626">
        <f t="shared" si="88"/>
        <v>1.75</v>
      </c>
      <c r="AL35" s="493">
        <f>I35+AD35</f>
        <v>936163</v>
      </c>
      <c r="AM35" s="492">
        <f>J35+U35</f>
        <v>694483</v>
      </c>
      <c r="AN35" s="492">
        <f t="shared" si="89"/>
        <v>0</v>
      </c>
      <c r="AO35" s="492">
        <f>K35+AA35</f>
        <v>234735</v>
      </c>
      <c r="AP35" s="492">
        <f>L35+AB35</f>
        <v>6945</v>
      </c>
      <c r="AQ35" s="578">
        <f t="shared" si="90"/>
        <v>0</v>
      </c>
      <c r="AR35" s="491">
        <f t="shared" si="91"/>
        <v>1.75</v>
      </c>
    </row>
    <row r="36" spans="1:44" s="152" customFormat="1" ht="12.75" customHeight="1" x14ac:dyDescent="0.2">
      <c r="A36" s="105">
        <v>9</v>
      </c>
      <c r="B36" s="12">
        <v>3467</v>
      </c>
      <c r="C36" s="104">
        <v>691001243</v>
      </c>
      <c r="D36" s="104">
        <v>72048174</v>
      </c>
      <c r="E36" s="153" t="s">
        <v>24</v>
      </c>
      <c r="F36" s="12"/>
      <c r="G36" s="153"/>
      <c r="H36" s="407"/>
      <c r="I36" s="782">
        <f t="shared" ref="I36:AR36" si="92">SUM(I34:I35)</f>
        <v>8396564</v>
      </c>
      <c r="J36" s="378">
        <f t="shared" si="92"/>
        <v>6228905</v>
      </c>
      <c r="K36" s="378">
        <f t="shared" si="92"/>
        <v>2105370</v>
      </c>
      <c r="L36" s="378">
        <f t="shared" si="92"/>
        <v>62289</v>
      </c>
      <c r="M36" s="378">
        <f t="shared" si="92"/>
        <v>0</v>
      </c>
      <c r="N36" s="340">
        <f t="shared" si="92"/>
        <v>10.55</v>
      </c>
      <c r="O36" s="444">
        <f t="shared" si="92"/>
        <v>0</v>
      </c>
      <c r="P36" s="378">
        <f t="shared" si="92"/>
        <v>694483</v>
      </c>
      <c r="Q36" s="378">
        <f t="shared" si="92"/>
        <v>0</v>
      </c>
      <c r="R36" s="378">
        <f t="shared" si="92"/>
        <v>0</v>
      </c>
      <c r="S36" s="378">
        <f t="shared" si="92"/>
        <v>0</v>
      </c>
      <c r="T36" s="378">
        <f t="shared" si="92"/>
        <v>0</v>
      </c>
      <c r="U36" s="378">
        <f t="shared" si="92"/>
        <v>694483</v>
      </c>
      <c r="V36" s="378">
        <f t="shared" si="92"/>
        <v>0</v>
      </c>
      <c r="W36" s="378">
        <f t="shared" si="92"/>
        <v>0</v>
      </c>
      <c r="X36" s="378">
        <f t="shared" si="92"/>
        <v>0</v>
      </c>
      <c r="Y36" s="378">
        <f t="shared" si="92"/>
        <v>0</v>
      </c>
      <c r="Z36" s="378">
        <f t="shared" si="92"/>
        <v>694483</v>
      </c>
      <c r="AA36" s="378">
        <f t="shared" si="92"/>
        <v>234735</v>
      </c>
      <c r="AB36" s="378">
        <f t="shared" si="92"/>
        <v>6945</v>
      </c>
      <c r="AC36" s="378">
        <f t="shared" si="92"/>
        <v>0</v>
      </c>
      <c r="AD36" s="788">
        <f t="shared" si="92"/>
        <v>936163</v>
      </c>
      <c r="AE36" s="790">
        <f t="shared" si="92"/>
        <v>0</v>
      </c>
      <c r="AF36" s="398">
        <f t="shared" si="92"/>
        <v>1.75</v>
      </c>
      <c r="AG36" s="398">
        <f t="shared" si="92"/>
        <v>0</v>
      </c>
      <c r="AH36" s="398">
        <f t="shared" si="92"/>
        <v>0</v>
      </c>
      <c r="AI36" s="398">
        <f t="shared" si="92"/>
        <v>0</v>
      </c>
      <c r="AJ36" s="398">
        <f t="shared" si="92"/>
        <v>0</v>
      </c>
      <c r="AK36" s="340">
        <f t="shared" si="92"/>
        <v>1.75</v>
      </c>
      <c r="AL36" s="444">
        <f t="shared" si="92"/>
        <v>9332727</v>
      </c>
      <c r="AM36" s="378">
        <f t="shared" si="92"/>
        <v>6923388</v>
      </c>
      <c r="AN36" s="378">
        <f t="shared" si="92"/>
        <v>0</v>
      </c>
      <c r="AO36" s="378">
        <f t="shared" si="92"/>
        <v>2340105</v>
      </c>
      <c r="AP36" s="378">
        <f t="shared" si="92"/>
        <v>69234</v>
      </c>
      <c r="AQ36" s="378">
        <f t="shared" si="92"/>
        <v>0</v>
      </c>
      <c r="AR36" s="398">
        <f t="shared" si="92"/>
        <v>12.3</v>
      </c>
    </row>
    <row r="37" spans="1:44" s="152" customFormat="1" ht="12.75" customHeight="1" x14ac:dyDescent="0.2">
      <c r="A37" s="154">
        <v>10</v>
      </c>
      <c r="B37" s="155">
        <v>3461</v>
      </c>
      <c r="C37" s="155">
        <v>691001286</v>
      </c>
      <c r="D37" s="155">
        <v>72048107</v>
      </c>
      <c r="E37" s="156" t="s">
        <v>25</v>
      </c>
      <c r="F37" s="155">
        <v>3111</v>
      </c>
      <c r="G37" s="156" t="s">
        <v>277</v>
      </c>
      <c r="H37" s="157" t="s">
        <v>262</v>
      </c>
      <c r="I37" s="627">
        <f>SUM(J37:L37)</f>
        <v>8509658</v>
      </c>
      <c r="J37" s="410">
        <v>6312803</v>
      </c>
      <c r="K37" s="431">
        <f t="shared" ref="K37:K38" si="93">ROUND(J37*33.8%,0)</f>
        <v>2133727</v>
      </c>
      <c r="L37" s="431">
        <f t="shared" ref="L37:L38" si="94">ROUND(J37*1%,0)</f>
        <v>63128</v>
      </c>
      <c r="M37" s="431">
        <v>0</v>
      </c>
      <c r="N37" s="783">
        <v>10.7</v>
      </c>
      <c r="O37" s="445">
        <f>V37*-1</f>
        <v>0</v>
      </c>
      <c r="P37" s="325">
        <v>0</v>
      </c>
      <c r="Q37" s="325">
        <v>0</v>
      </c>
      <c r="R37" s="325">
        <v>0</v>
      </c>
      <c r="S37" s="325">
        <v>0</v>
      </c>
      <c r="T37" s="325">
        <v>0</v>
      </c>
      <c r="U37" s="492">
        <f t="shared" ref="U37:U38" si="95">O37+P37+Q37+R37+S37+T37</f>
        <v>0</v>
      </c>
      <c r="V37" s="325">
        <v>0</v>
      </c>
      <c r="W37" s="325">
        <v>0</v>
      </c>
      <c r="X37" s="325">
        <v>0</v>
      </c>
      <c r="Y37" s="492">
        <f t="shared" ref="Y37:Y38" si="96">V37+W37+X37</f>
        <v>0</v>
      </c>
      <c r="Z37" s="492">
        <f t="shared" ref="Z37:Z38" si="97">U37+Y37</f>
        <v>0</v>
      </c>
      <c r="AA37" s="494">
        <f t="shared" ref="AA37:AA38" si="98">ROUND((U37+Y37)*33.8%,0)</f>
        <v>0</v>
      </c>
      <c r="AB37" s="494">
        <f t="shared" ref="AB37:AB38" si="99">ROUND(U37*1%,0)</f>
        <v>0</v>
      </c>
      <c r="AC37" s="492">
        <v>0</v>
      </c>
      <c r="AD37" s="789">
        <f t="shared" ref="AD37:AD38" si="100">Z37+AA37+AB37+AC37</f>
        <v>0</v>
      </c>
      <c r="AE37" s="715">
        <v>0</v>
      </c>
      <c r="AF37" s="326">
        <v>0</v>
      </c>
      <c r="AG37" s="326">
        <v>0</v>
      </c>
      <c r="AH37" s="326">
        <v>0</v>
      </c>
      <c r="AI37" s="326">
        <v>0</v>
      </c>
      <c r="AJ37" s="326">
        <v>0</v>
      </c>
      <c r="AK37" s="626">
        <f t="shared" ref="AK37:AK38" si="101">SUM(AE37:AJ37)</f>
        <v>0</v>
      </c>
      <c r="AL37" s="493">
        <f>I37+AD37</f>
        <v>8509658</v>
      </c>
      <c r="AM37" s="492">
        <f>J37+U37</f>
        <v>6312803</v>
      </c>
      <c r="AN37" s="492">
        <f t="shared" ref="AN37:AN38" si="102">Y37</f>
        <v>0</v>
      </c>
      <c r="AO37" s="492">
        <f>K37+AA37</f>
        <v>2133727</v>
      </c>
      <c r="AP37" s="492">
        <f>L37+AB37</f>
        <v>63128</v>
      </c>
      <c r="AQ37" s="578">
        <f t="shared" ref="AQ37:AQ38" si="103">M37+AC37</f>
        <v>0</v>
      </c>
      <c r="AR37" s="491">
        <f t="shared" ref="AR37:AR38" si="104">N37+AK37</f>
        <v>10.7</v>
      </c>
    </row>
    <row r="38" spans="1:44" s="152" customFormat="1" x14ac:dyDescent="0.2">
      <c r="A38" s="154">
        <v>10</v>
      </c>
      <c r="B38" s="155">
        <v>3461</v>
      </c>
      <c r="C38" s="155">
        <v>691001286</v>
      </c>
      <c r="D38" s="155">
        <v>72048107</v>
      </c>
      <c r="E38" s="156" t="s">
        <v>25</v>
      </c>
      <c r="F38" s="155">
        <v>3111</v>
      </c>
      <c r="G38" s="156" t="s">
        <v>278</v>
      </c>
      <c r="H38" s="157" t="s">
        <v>263</v>
      </c>
      <c r="I38" s="586">
        <f>SUM(J38:L38)</f>
        <v>0</v>
      </c>
      <c r="J38" s="323"/>
      <c r="K38" s="431">
        <f t="shared" si="93"/>
        <v>0</v>
      </c>
      <c r="L38" s="431">
        <f t="shared" si="94"/>
        <v>0</v>
      </c>
      <c r="M38" s="431">
        <v>0</v>
      </c>
      <c r="N38" s="784">
        <v>0</v>
      </c>
      <c r="O38" s="440">
        <f>V38*-1</f>
        <v>0</v>
      </c>
      <c r="P38" s="325">
        <f>891198+90944</f>
        <v>982142</v>
      </c>
      <c r="Q38" s="325">
        <v>0</v>
      </c>
      <c r="R38" s="325">
        <v>0</v>
      </c>
      <c r="S38" s="325">
        <v>0</v>
      </c>
      <c r="T38" s="325">
        <v>0</v>
      </c>
      <c r="U38" s="492">
        <f t="shared" si="95"/>
        <v>982142</v>
      </c>
      <c r="V38" s="325">
        <v>0</v>
      </c>
      <c r="W38" s="325">
        <v>0</v>
      </c>
      <c r="X38" s="325">
        <v>0</v>
      </c>
      <c r="Y38" s="492">
        <f t="shared" si="96"/>
        <v>0</v>
      </c>
      <c r="Z38" s="492">
        <f t="shared" si="97"/>
        <v>982142</v>
      </c>
      <c r="AA38" s="494">
        <f t="shared" si="98"/>
        <v>331964</v>
      </c>
      <c r="AB38" s="494">
        <f t="shared" si="99"/>
        <v>9821</v>
      </c>
      <c r="AC38" s="492">
        <v>0</v>
      </c>
      <c r="AD38" s="789">
        <f t="shared" si="100"/>
        <v>1323927</v>
      </c>
      <c r="AE38" s="715">
        <v>0</v>
      </c>
      <c r="AF38" s="326">
        <f>2.5+0.23</f>
        <v>2.73</v>
      </c>
      <c r="AG38" s="326">
        <v>0</v>
      </c>
      <c r="AH38" s="326">
        <v>0</v>
      </c>
      <c r="AI38" s="326">
        <v>0</v>
      </c>
      <c r="AJ38" s="326">
        <v>0</v>
      </c>
      <c r="AK38" s="626">
        <f t="shared" si="101"/>
        <v>2.73</v>
      </c>
      <c r="AL38" s="493">
        <f>I38+AD38</f>
        <v>1323927</v>
      </c>
      <c r="AM38" s="492">
        <f>J38+U38</f>
        <v>982142</v>
      </c>
      <c r="AN38" s="492">
        <f t="shared" si="102"/>
        <v>0</v>
      </c>
      <c r="AO38" s="492">
        <f>K38+AA38</f>
        <v>331964</v>
      </c>
      <c r="AP38" s="492">
        <f>L38+AB38</f>
        <v>9821</v>
      </c>
      <c r="AQ38" s="578">
        <f t="shared" si="103"/>
        <v>0</v>
      </c>
      <c r="AR38" s="491">
        <f t="shared" si="104"/>
        <v>2.73</v>
      </c>
    </row>
    <row r="39" spans="1:44" s="152" customFormat="1" ht="12.75" customHeight="1" x14ac:dyDescent="0.2">
      <c r="A39" s="105">
        <v>10</v>
      </c>
      <c r="B39" s="12">
        <v>3461</v>
      </c>
      <c r="C39" s="104">
        <v>691001286</v>
      </c>
      <c r="D39" s="104">
        <v>72048107</v>
      </c>
      <c r="E39" s="153" t="s">
        <v>26</v>
      </c>
      <c r="F39" s="12"/>
      <c r="G39" s="153"/>
      <c r="H39" s="407"/>
      <c r="I39" s="782">
        <f t="shared" ref="I39:AR39" si="105">SUM(I37:I38)</f>
        <v>8509658</v>
      </c>
      <c r="J39" s="378">
        <f t="shared" si="105"/>
        <v>6312803</v>
      </c>
      <c r="K39" s="378">
        <f t="shared" si="105"/>
        <v>2133727</v>
      </c>
      <c r="L39" s="378">
        <f t="shared" si="105"/>
        <v>63128</v>
      </c>
      <c r="M39" s="378">
        <f t="shared" si="105"/>
        <v>0</v>
      </c>
      <c r="N39" s="340">
        <f t="shared" si="105"/>
        <v>10.7</v>
      </c>
      <c r="O39" s="444">
        <f t="shared" si="105"/>
        <v>0</v>
      </c>
      <c r="P39" s="378">
        <f t="shared" si="105"/>
        <v>982142</v>
      </c>
      <c r="Q39" s="378">
        <f t="shared" si="105"/>
        <v>0</v>
      </c>
      <c r="R39" s="378">
        <f t="shared" si="105"/>
        <v>0</v>
      </c>
      <c r="S39" s="378">
        <f t="shared" si="105"/>
        <v>0</v>
      </c>
      <c r="T39" s="378">
        <f t="shared" si="105"/>
        <v>0</v>
      </c>
      <c r="U39" s="378">
        <f t="shared" si="105"/>
        <v>982142</v>
      </c>
      <c r="V39" s="378">
        <f t="shared" si="105"/>
        <v>0</v>
      </c>
      <c r="W39" s="378">
        <f t="shared" si="105"/>
        <v>0</v>
      </c>
      <c r="X39" s="378">
        <f t="shared" si="105"/>
        <v>0</v>
      </c>
      <c r="Y39" s="378">
        <f t="shared" si="105"/>
        <v>0</v>
      </c>
      <c r="Z39" s="378">
        <f t="shared" si="105"/>
        <v>982142</v>
      </c>
      <c r="AA39" s="378">
        <f t="shared" si="105"/>
        <v>331964</v>
      </c>
      <c r="AB39" s="378">
        <f t="shared" si="105"/>
        <v>9821</v>
      </c>
      <c r="AC39" s="378">
        <f t="shared" si="105"/>
        <v>0</v>
      </c>
      <c r="AD39" s="788">
        <f t="shared" si="105"/>
        <v>1323927</v>
      </c>
      <c r="AE39" s="790">
        <f t="shared" si="105"/>
        <v>0</v>
      </c>
      <c r="AF39" s="398">
        <f t="shared" si="105"/>
        <v>2.73</v>
      </c>
      <c r="AG39" s="398">
        <f t="shared" si="105"/>
        <v>0</v>
      </c>
      <c r="AH39" s="398">
        <f t="shared" si="105"/>
        <v>0</v>
      </c>
      <c r="AI39" s="398">
        <f t="shared" si="105"/>
        <v>0</v>
      </c>
      <c r="AJ39" s="398">
        <f t="shared" si="105"/>
        <v>0</v>
      </c>
      <c r="AK39" s="340">
        <f t="shared" si="105"/>
        <v>2.73</v>
      </c>
      <c r="AL39" s="444">
        <f t="shared" si="105"/>
        <v>9833585</v>
      </c>
      <c r="AM39" s="378">
        <f t="shared" si="105"/>
        <v>7294945</v>
      </c>
      <c r="AN39" s="378">
        <f t="shared" si="105"/>
        <v>0</v>
      </c>
      <c r="AO39" s="378">
        <f t="shared" si="105"/>
        <v>2465691</v>
      </c>
      <c r="AP39" s="378">
        <f t="shared" si="105"/>
        <v>72949</v>
      </c>
      <c r="AQ39" s="378">
        <f t="shared" si="105"/>
        <v>0</v>
      </c>
      <c r="AR39" s="398">
        <f t="shared" si="105"/>
        <v>13.43</v>
      </c>
    </row>
    <row r="40" spans="1:44" s="152" customFormat="1" ht="12.75" customHeight="1" x14ac:dyDescent="0.2">
      <c r="A40" s="154">
        <v>11</v>
      </c>
      <c r="B40" s="155">
        <v>3468</v>
      </c>
      <c r="C40" s="155">
        <v>691000891</v>
      </c>
      <c r="D40" s="155">
        <v>72048069</v>
      </c>
      <c r="E40" s="156" t="s">
        <v>27</v>
      </c>
      <c r="F40" s="155">
        <v>3111</v>
      </c>
      <c r="G40" s="156" t="s">
        <v>277</v>
      </c>
      <c r="H40" s="157" t="s">
        <v>262</v>
      </c>
      <c r="I40" s="627">
        <f>SUM(J40:L40)</f>
        <v>6554382</v>
      </c>
      <c r="J40" s="410">
        <v>4862301</v>
      </c>
      <c r="K40" s="431">
        <f t="shared" ref="K40:K41" si="106">ROUND(J40*33.8%,0)</f>
        <v>1643458</v>
      </c>
      <c r="L40" s="431">
        <f t="shared" ref="L40:L41" si="107">ROUND(J40*1%,0)</f>
        <v>48623</v>
      </c>
      <c r="M40" s="431">
        <v>0</v>
      </c>
      <c r="N40" s="783">
        <v>8.1</v>
      </c>
      <c r="O40" s="445">
        <f>V40*-1</f>
        <v>0</v>
      </c>
      <c r="P40" s="325">
        <v>0</v>
      </c>
      <c r="Q40" s="325">
        <v>0</v>
      </c>
      <c r="R40" s="325">
        <v>0</v>
      </c>
      <c r="S40" s="325">
        <v>0</v>
      </c>
      <c r="T40" s="325">
        <v>0</v>
      </c>
      <c r="U40" s="492">
        <f t="shared" ref="U40:U41" si="108">O40+P40+Q40+R40+S40+T40</f>
        <v>0</v>
      </c>
      <c r="V40" s="325">
        <v>0</v>
      </c>
      <c r="W40" s="325">
        <v>0</v>
      </c>
      <c r="X40" s="325">
        <v>0</v>
      </c>
      <c r="Y40" s="492">
        <f t="shared" ref="Y40:Y41" si="109">V40+W40+X40</f>
        <v>0</v>
      </c>
      <c r="Z40" s="492">
        <f t="shared" ref="Z40:Z41" si="110">U40+Y40</f>
        <v>0</v>
      </c>
      <c r="AA40" s="494">
        <f t="shared" ref="AA40:AA41" si="111">ROUND((U40+Y40)*33.8%,0)</f>
        <v>0</v>
      </c>
      <c r="AB40" s="494">
        <f t="shared" ref="AB40:AB41" si="112">ROUND(U40*1%,0)</f>
        <v>0</v>
      </c>
      <c r="AC40" s="492">
        <v>0</v>
      </c>
      <c r="AD40" s="789">
        <f t="shared" ref="AD40:AD41" si="113">Z40+AA40+AB40+AC40</f>
        <v>0</v>
      </c>
      <c r="AE40" s="715">
        <v>0</v>
      </c>
      <c r="AF40" s="326">
        <v>0</v>
      </c>
      <c r="AG40" s="326">
        <v>0</v>
      </c>
      <c r="AH40" s="326">
        <v>0</v>
      </c>
      <c r="AI40" s="326">
        <v>0</v>
      </c>
      <c r="AJ40" s="326">
        <v>0</v>
      </c>
      <c r="AK40" s="626">
        <f t="shared" ref="AK40:AK41" si="114">SUM(AE40:AJ40)</f>
        <v>0</v>
      </c>
      <c r="AL40" s="493">
        <f>I40+AD40</f>
        <v>6554382</v>
      </c>
      <c r="AM40" s="492">
        <f>J40+U40</f>
        <v>4862301</v>
      </c>
      <c r="AN40" s="492">
        <f t="shared" ref="AN40:AN41" si="115">Y40</f>
        <v>0</v>
      </c>
      <c r="AO40" s="492">
        <f>K40+AA40</f>
        <v>1643458</v>
      </c>
      <c r="AP40" s="492">
        <f>L40+AB40</f>
        <v>48623</v>
      </c>
      <c r="AQ40" s="578">
        <f t="shared" ref="AQ40:AQ41" si="116">M40+AC40</f>
        <v>0</v>
      </c>
      <c r="AR40" s="491">
        <f t="shared" ref="AR40:AR41" si="117">N40+AK40</f>
        <v>8.1</v>
      </c>
    </row>
    <row r="41" spans="1:44" s="152" customFormat="1" x14ac:dyDescent="0.2">
      <c r="A41" s="154">
        <v>11</v>
      </c>
      <c r="B41" s="155">
        <v>3468</v>
      </c>
      <c r="C41" s="155">
        <v>691000891</v>
      </c>
      <c r="D41" s="155">
        <v>72048069</v>
      </c>
      <c r="E41" s="156" t="s">
        <v>27</v>
      </c>
      <c r="F41" s="155">
        <v>3111</v>
      </c>
      <c r="G41" s="156" t="s">
        <v>278</v>
      </c>
      <c r="H41" s="157" t="s">
        <v>263</v>
      </c>
      <c r="I41" s="586">
        <f>SUM(J41:L41)</f>
        <v>0</v>
      </c>
      <c r="J41" s="323"/>
      <c r="K41" s="431">
        <f t="shared" si="106"/>
        <v>0</v>
      </c>
      <c r="L41" s="431">
        <f t="shared" si="107"/>
        <v>0</v>
      </c>
      <c r="M41" s="431">
        <v>0</v>
      </c>
      <c r="N41" s="784">
        <v>0</v>
      </c>
      <c r="O41" s="440">
        <f>V41*-1</f>
        <v>0</v>
      </c>
      <c r="P41" s="325">
        <v>694483</v>
      </c>
      <c r="Q41" s="325">
        <v>0</v>
      </c>
      <c r="R41" s="325">
        <v>0</v>
      </c>
      <c r="S41" s="325">
        <v>0</v>
      </c>
      <c r="T41" s="325">
        <v>0</v>
      </c>
      <c r="U41" s="492">
        <f t="shared" si="108"/>
        <v>694483</v>
      </c>
      <c r="V41" s="325">
        <v>0</v>
      </c>
      <c r="W41" s="325">
        <v>0</v>
      </c>
      <c r="X41" s="325">
        <v>0</v>
      </c>
      <c r="Y41" s="492">
        <f t="shared" si="109"/>
        <v>0</v>
      </c>
      <c r="Z41" s="492">
        <f t="shared" si="110"/>
        <v>694483</v>
      </c>
      <c r="AA41" s="494">
        <f t="shared" si="111"/>
        <v>234735</v>
      </c>
      <c r="AB41" s="494">
        <f t="shared" si="112"/>
        <v>6945</v>
      </c>
      <c r="AC41" s="492">
        <v>0</v>
      </c>
      <c r="AD41" s="789">
        <f t="shared" si="113"/>
        <v>936163</v>
      </c>
      <c r="AE41" s="715">
        <v>0</v>
      </c>
      <c r="AF41" s="326">
        <v>1.75</v>
      </c>
      <c r="AG41" s="326">
        <v>0</v>
      </c>
      <c r="AH41" s="326">
        <v>0</v>
      </c>
      <c r="AI41" s="326">
        <v>0</v>
      </c>
      <c r="AJ41" s="326">
        <v>0</v>
      </c>
      <c r="AK41" s="626">
        <f t="shared" si="114"/>
        <v>1.75</v>
      </c>
      <c r="AL41" s="493">
        <f>I41+AD41</f>
        <v>936163</v>
      </c>
      <c r="AM41" s="492">
        <f>J41+U41</f>
        <v>694483</v>
      </c>
      <c r="AN41" s="492">
        <f t="shared" si="115"/>
        <v>0</v>
      </c>
      <c r="AO41" s="492">
        <f>K41+AA41</f>
        <v>234735</v>
      </c>
      <c r="AP41" s="492">
        <f>L41+AB41</f>
        <v>6945</v>
      </c>
      <c r="AQ41" s="578">
        <f t="shared" si="116"/>
        <v>0</v>
      </c>
      <c r="AR41" s="491">
        <f t="shared" si="117"/>
        <v>1.75</v>
      </c>
    </row>
    <row r="42" spans="1:44" s="152" customFormat="1" ht="12.75" customHeight="1" x14ac:dyDescent="0.2">
      <c r="A42" s="105">
        <v>11</v>
      </c>
      <c r="B42" s="12">
        <v>3468</v>
      </c>
      <c r="C42" s="104">
        <v>691000891</v>
      </c>
      <c r="D42" s="104">
        <v>72048069</v>
      </c>
      <c r="E42" s="153" t="s">
        <v>28</v>
      </c>
      <c r="F42" s="12"/>
      <c r="G42" s="153"/>
      <c r="H42" s="407"/>
      <c r="I42" s="782">
        <f t="shared" ref="I42:AR42" si="118">SUM(I40:I41)</f>
        <v>6554382</v>
      </c>
      <c r="J42" s="378">
        <f t="shared" si="118"/>
        <v>4862301</v>
      </c>
      <c r="K42" s="378">
        <f t="shared" si="118"/>
        <v>1643458</v>
      </c>
      <c r="L42" s="378">
        <f t="shared" si="118"/>
        <v>48623</v>
      </c>
      <c r="M42" s="378">
        <f t="shared" si="118"/>
        <v>0</v>
      </c>
      <c r="N42" s="340">
        <f t="shared" si="118"/>
        <v>8.1</v>
      </c>
      <c r="O42" s="444">
        <f t="shared" si="118"/>
        <v>0</v>
      </c>
      <c r="P42" s="378">
        <f t="shared" si="118"/>
        <v>694483</v>
      </c>
      <c r="Q42" s="378">
        <f t="shared" si="118"/>
        <v>0</v>
      </c>
      <c r="R42" s="378">
        <f t="shared" si="118"/>
        <v>0</v>
      </c>
      <c r="S42" s="378">
        <f t="shared" si="118"/>
        <v>0</v>
      </c>
      <c r="T42" s="378">
        <f t="shared" si="118"/>
        <v>0</v>
      </c>
      <c r="U42" s="378">
        <f t="shared" si="118"/>
        <v>694483</v>
      </c>
      <c r="V42" s="378">
        <f t="shared" si="118"/>
        <v>0</v>
      </c>
      <c r="W42" s="378">
        <f t="shared" si="118"/>
        <v>0</v>
      </c>
      <c r="X42" s="378">
        <f t="shared" si="118"/>
        <v>0</v>
      </c>
      <c r="Y42" s="378">
        <f t="shared" si="118"/>
        <v>0</v>
      </c>
      <c r="Z42" s="378">
        <f t="shared" si="118"/>
        <v>694483</v>
      </c>
      <c r="AA42" s="378">
        <f t="shared" si="118"/>
        <v>234735</v>
      </c>
      <c r="AB42" s="378">
        <f t="shared" si="118"/>
        <v>6945</v>
      </c>
      <c r="AC42" s="378">
        <f t="shared" si="118"/>
        <v>0</v>
      </c>
      <c r="AD42" s="788">
        <f t="shared" si="118"/>
        <v>936163</v>
      </c>
      <c r="AE42" s="790">
        <f t="shared" si="118"/>
        <v>0</v>
      </c>
      <c r="AF42" s="398">
        <f t="shared" si="118"/>
        <v>1.75</v>
      </c>
      <c r="AG42" s="398">
        <f t="shared" si="118"/>
        <v>0</v>
      </c>
      <c r="AH42" s="398">
        <f t="shared" si="118"/>
        <v>0</v>
      </c>
      <c r="AI42" s="398">
        <f t="shared" si="118"/>
        <v>0</v>
      </c>
      <c r="AJ42" s="398">
        <f t="shared" si="118"/>
        <v>0</v>
      </c>
      <c r="AK42" s="340">
        <f t="shared" si="118"/>
        <v>1.75</v>
      </c>
      <c r="AL42" s="444">
        <f t="shared" si="118"/>
        <v>7490545</v>
      </c>
      <c r="AM42" s="378">
        <f t="shared" si="118"/>
        <v>5556784</v>
      </c>
      <c r="AN42" s="378">
        <f t="shared" si="118"/>
        <v>0</v>
      </c>
      <c r="AO42" s="378">
        <f t="shared" si="118"/>
        <v>1878193</v>
      </c>
      <c r="AP42" s="378">
        <f t="shared" si="118"/>
        <v>55568</v>
      </c>
      <c r="AQ42" s="378">
        <f t="shared" si="118"/>
        <v>0</v>
      </c>
      <c r="AR42" s="398">
        <f t="shared" si="118"/>
        <v>9.85</v>
      </c>
    </row>
    <row r="43" spans="1:44" s="152" customFormat="1" ht="12.75" customHeight="1" x14ac:dyDescent="0.2">
      <c r="A43" s="154">
        <v>12</v>
      </c>
      <c r="B43" s="155">
        <v>3465</v>
      </c>
      <c r="C43" s="155">
        <v>691001278</v>
      </c>
      <c r="D43" s="155">
        <v>72048131</v>
      </c>
      <c r="E43" s="156" t="s">
        <v>29</v>
      </c>
      <c r="F43" s="155">
        <v>3111</v>
      </c>
      <c r="G43" s="156" t="s">
        <v>277</v>
      </c>
      <c r="H43" s="157" t="s">
        <v>262</v>
      </c>
      <c r="I43" s="627">
        <f>SUM(J43:L43)</f>
        <v>6471420</v>
      </c>
      <c r="J43" s="410">
        <v>4800756</v>
      </c>
      <c r="K43" s="431">
        <f t="shared" ref="K43:K44" si="119">ROUND(J43*33.8%,0)</f>
        <v>1622656</v>
      </c>
      <c r="L43" s="431">
        <f t="shared" ref="L43:L44" si="120">ROUND(J43*1%,0)</f>
        <v>48008</v>
      </c>
      <c r="M43" s="431">
        <v>0</v>
      </c>
      <c r="N43" s="783">
        <v>8</v>
      </c>
      <c r="O43" s="445">
        <f>V43*-1</f>
        <v>0</v>
      </c>
      <c r="P43" s="325">
        <v>0</v>
      </c>
      <c r="Q43" s="325">
        <v>0</v>
      </c>
      <c r="R43" s="325">
        <v>0</v>
      </c>
      <c r="S43" s="325">
        <v>0</v>
      </c>
      <c r="T43" s="325">
        <v>0</v>
      </c>
      <c r="U43" s="492">
        <f t="shared" ref="U43:U44" si="121">O43+P43+Q43+R43+S43+T43</f>
        <v>0</v>
      </c>
      <c r="V43" s="325">
        <v>0</v>
      </c>
      <c r="W43" s="325">
        <v>0</v>
      </c>
      <c r="X43" s="325">
        <v>0</v>
      </c>
      <c r="Y43" s="492">
        <f t="shared" ref="Y43:Y44" si="122">V43+W43+X43</f>
        <v>0</v>
      </c>
      <c r="Z43" s="492">
        <f t="shared" ref="Z43:Z44" si="123">U43+Y43</f>
        <v>0</v>
      </c>
      <c r="AA43" s="494">
        <f t="shared" ref="AA43:AA44" si="124">ROUND((U43+Y43)*33.8%,0)</f>
        <v>0</v>
      </c>
      <c r="AB43" s="494">
        <f t="shared" ref="AB43:AB44" si="125">ROUND(U43*1%,0)</f>
        <v>0</v>
      </c>
      <c r="AC43" s="492">
        <v>0</v>
      </c>
      <c r="AD43" s="789">
        <f t="shared" ref="AD43:AD44" si="126">Z43+AA43+AB43+AC43</f>
        <v>0</v>
      </c>
      <c r="AE43" s="715">
        <v>0</v>
      </c>
      <c r="AF43" s="326">
        <v>0</v>
      </c>
      <c r="AG43" s="326">
        <v>0</v>
      </c>
      <c r="AH43" s="326">
        <v>0</v>
      </c>
      <c r="AI43" s="326">
        <v>0</v>
      </c>
      <c r="AJ43" s="326">
        <v>0</v>
      </c>
      <c r="AK43" s="626">
        <f t="shared" ref="AK43:AK44" si="127">SUM(AE43:AJ43)</f>
        <v>0</v>
      </c>
      <c r="AL43" s="493">
        <f>I43+AD43</f>
        <v>6471420</v>
      </c>
      <c r="AM43" s="492">
        <f>J43+U43</f>
        <v>4800756</v>
      </c>
      <c r="AN43" s="492">
        <f t="shared" ref="AN43:AN44" si="128">Y43</f>
        <v>0</v>
      </c>
      <c r="AO43" s="492">
        <f>K43+AA43</f>
        <v>1622656</v>
      </c>
      <c r="AP43" s="492">
        <f>L43+AB43</f>
        <v>48008</v>
      </c>
      <c r="AQ43" s="578">
        <f t="shared" ref="AQ43:AQ44" si="129">M43+AC43</f>
        <v>0</v>
      </c>
      <c r="AR43" s="491">
        <f t="shared" ref="AR43:AR44" si="130">N43+AK43</f>
        <v>8</v>
      </c>
    </row>
    <row r="44" spans="1:44" s="152" customFormat="1" x14ac:dyDescent="0.2">
      <c r="A44" s="154">
        <v>12</v>
      </c>
      <c r="B44" s="155">
        <v>3465</v>
      </c>
      <c r="C44" s="155">
        <v>691001278</v>
      </c>
      <c r="D44" s="155">
        <v>72048131</v>
      </c>
      <c r="E44" s="156" t="s">
        <v>29</v>
      </c>
      <c r="F44" s="155">
        <v>3111</v>
      </c>
      <c r="G44" s="156" t="s">
        <v>278</v>
      </c>
      <c r="H44" s="157" t="s">
        <v>263</v>
      </c>
      <c r="I44" s="586">
        <f>SUM(J44:L44)</f>
        <v>0</v>
      </c>
      <c r="J44" s="323"/>
      <c r="K44" s="431">
        <f t="shared" si="119"/>
        <v>0</v>
      </c>
      <c r="L44" s="431">
        <f t="shared" si="120"/>
        <v>0</v>
      </c>
      <c r="M44" s="431">
        <v>0</v>
      </c>
      <c r="N44" s="784">
        <v>0</v>
      </c>
      <c r="O44" s="440">
        <f>V44*-1</f>
        <v>0</v>
      </c>
      <c r="P44" s="325">
        <v>221946</v>
      </c>
      <c r="Q44" s="325">
        <v>0</v>
      </c>
      <c r="R44" s="325">
        <v>0</v>
      </c>
      <c r="S44" s="325">
        <v>0</v>
      </c>
      <c r="T44" s="325">
        <v>0</v>
      </c>
      <c r="U44" s="492">
        <f t="shared" si="121"/>
        <v>221946</v>
      </c>
      <c r="V44" s="325">
        <v>0</v>
      </c>
      <c r="W44" s="325">
        <v>0</v>
      </c>
      <c r="X44" s="325">
        <v>0</v>
      </c>
      <c r="Y44" s="492">
        <f t="shared" si="122"/>
        <v>0</v>
      </c>
      <c r="Z44" s="492">
        <f t="shared" si="123"/>
        <v>221946</v>
      </c>
      <c r="AA44" s="494">
        <f t="shared" si="124"/>
        <v>75018</v>
      </c>
      <c r="AB44" s="494">
        <f t="shared" si="125"/>
        <v>2219</v>
      </c>
      <c r="AC44" s="492">
        <v>0</v>
      </c>
      <c r="AD44" s="789">
        <f t="shared" si="126"/>
        <v>299183</v>
      </c>
      <c r="AE44" s="715">
        <v>0</v>
      </c>
      <c r="AF44" s="326">
        <v>0.75</v>
      </c>
      <c r="AG44" s="326">
        <v>0</v>
      </c>
      <c r="AH44" s="326">
        <v>0</v>
      </c>
      <c r="AI44" s="326">
        <v>0</v>
      </c>
      <c r="AJ44" s="326">
        <v>0</v>
      </c>
      <c r="AK44" s="626">
        <f t="shared" si="127"/>
        <v>0.75</v>
      </c>
      <c r="AL44" s="493">
        <f>I44+AD44</f>
        <v>299183</v>
      </c>
      <c r="AM44" s="492">
        <f>J44+U44</f>
        <v>221946</v>
      </c>
      <c r="AN44" s="492">
        <f t="shared" si="128"/>
        <v>0</v>
      </c>
      <c r="AO44" s="492">
        <f>K44+AA44</f>
        <v>75018</v>
      </c>
      <c r="AP44" s="492">
        <f>L44+AB44</f>
        <v>2219</v>
      </c>
      <c r="AQ44" s="578">
        <f t="shared" si="129"/>
        <v>0</v>
      </c>
      <c r="AR44" s="491">
        <f t="shared" si="130"/>
        <v>0.75</v>
      </c>
    </row>
    <row r="45" spans="1:44" s="152" customFormat="1" ht="12.75" customHeight="1" x14ac:dyDescent="0.2">
      <c r="A45" s="105">
        <v>12</v>
      </c>
      <c r="B45" s="12">
        <v>3465</v>
      </c>
      <c r="C45" s="104">
        <v>691001278</v>
      </c>
      <c r="D45" s="104">
        <v>72048131</v>
      </c>
      <c r="E45" s="153" t="s">
        <v>30</v>
      </c>
      <c r="F45" s="12"/>
      <c r="G45" s="153"/>
      <c r="H45" s="407"/>
      <c r="I45" s="782">
        <f t="shared" ref="I45:AR45" si="131">SUM(I43:I44)</f>
        <v>6471420</v>
      </c>
      <c r="J45" s="378">
        <f t="shared" si="131"/>
        <v>4800756</v>
      </c>
      <c r="K45" s="378">
        <f t="shared" si="131"/>
        <v>1622656</v>
      </c>
      <c r="L45" s="378">
        <f t="shared" si="131"/>
        <v>48008</v>
      </c>
      <c r="M45" s="378">
        <f t="shared" si="131"/>
        <v>0</v>
      </c>
      <c r="N45" s="340">
        <f t="shared" si="131"/>
        <v>8</v>
      </c>
      <c r="O45" s="444">
        <f t="shared" si="131"/>
        <v>0</v>
      </c>
      <c r="P45" s="378">
        <f t="shared" si="131"/>
        <v>221946</v>
      </c>
      <c r="Q45" s="378">
        <f t="shared" si="131"/>
        <v>0</v>
      </c>
      <c r="R45" s="378">
        <f t="shared" si="131"/>
        <v>0</v>
      </c>
      <c r="S45" s="378">
        <f t="shared" si="131"/>
        <v>0</v>
      </c>
      <c r="T45" s="378">
        <f t="shared" si="131"/>
        <v>0</v>
      </c>
      <c r="U45" s="378">
        <f t="shared" si="131"/>
        <v>221946</v>
      </c>
      <c r="V45" s="378">
        <f t="shared" si="131"/>
        <v>0</v>
      </c>
      <c r="W45" s="378">
        <f t="shared" si="131"/>
        <v>0</v>
      </c>
      <c r="X45" s="378">
        <f t="shared" si="131"/>
        <v>0</v>
      </c>
      <c r="Y45" s="378">
        <f t="shared" si="131"/>
        <v>0</v>
      </c>
      <c r="Z45" s="378">
        <f t="shared" si="131"/>
        <v>221946</v>
      </c>
      <c r="AA45" s="378">
        <f t="shared" si="131"/>
        <v>75018</v>
      </c>
      <c r="AB45" s="378">
        <f t="shared" si="131"/>
        <v>2219</v>
      </c>
      <c r="AC45" s="378">
        <f t="shared" si="131"/>
        <v>0</v>
      </c>
      <c r="AD45" s="788">
        <f t="shared" si="131"/>
        <v>299183</v>
      </c>
      <c r="AE45" s="790">
        <f t="shared" si="131"/>
        <v>0</v>
      </c>
      <c r="AF45" s="398">
        <f t="shared" si="131"/>
        <v>0.75</v>
      </c>
      <c r="AG45" s="398">
        <f t="shared" si="131"/>
        <v>0</v>
      </c>
      <c r="AH45" s="398">
        <f t="shared" si="131"/>
        <v>0</v>
      </c>
      <c r="AI45" s="398">
        <f t="shared" si="131"/>
        <v>0</v>
      </c>
      <c r="AJ45" s="398">
        <f t="shared" si="131"/>
        <v>0</v>
      </c>
      <c r="AK45" s="340">
        <f t="shared" si="131"/>
        <v>0.75</v>
      </c>
      <c r="AL45" s="444">
        <f t="shared" si="131"/>
        <v>6770603</v>
      </c>
      <c r="AM45" s="378">
        <f t="shared" si="131"/>
        <v>5022702</v>
      </c>
      <c r="AN45" s="378">
        <f t="shared" si="131"/>
        <v>0</v>
      </c>
      <c r="AO45" s="378">
        <f t="shared" si="131"/>
        <v>1697674</v>
      </c>
      <c r="AP45" s="378">
        <f t="shared" si="131"/>
        <v>50227</v>
      </c>
      <c r="AQ45" s="378">
        <f t="shared" si="131"/>
        <v>0</v>
      </c>
      <c r="AR45" s="398">
        <f t="shared" si="131"/>
        <v>8.75</v>
      </c>
    </row>
    <row r="46" spans="1:44" s="152" customFormat="1" ht="12.75" customHeight="1" x14ac:dyDescent="0.2">
      <c r="A46" s="154">
        <v>13</v>
      </c>
      <c r="B46" s="155">
        <v>3473</v>
      </c>
      <c r="C46" s="155">
        <v>691003530</v>
      </c>
      <c r="D46" s="155">
        <v>72550392</v>
      </c>
      <c r="E46" s="156" t="s">
        <v>31</v>
      </c>
      <c r="F46" s="155">
        <v>3111</v>
      </c>
      <c r="G46" s="156" t="s">
        <v>277</v>
      </c>
      <c r="H46" s="157" t="s">
        <v>262</v>
      </c>
      <c r="I46" s="627">
        <f>SUM(J46:L46)</f>
        <v>8066537</v>
      </c>
      <c r="J46" s="410">
        <v>5984078</v>
      </c>
      <c r="K46" s="431">
        <f t="shared" ref="K46:K47" si="132">ROUND(J46*33.8%,0)</f>
        <v>2022618</v>
      </c>
      <c r="L46" s="431">
        <f t="shared" ref="L46:L47" si="133">ROUND(J46*1%,0)</f>
        <v>59841</v>
      </c>
      <c r="M46" s="431">
        <v>0</v>
      </c>
      <c r="N46" s="783">
        <v>10</v>
      </c>
      <c r="O46" s="445">
        <f>V46*-1</f>
        <v>0</v>
      </c>
      <c r="P46" s="325">
        <v>0</v>
      </c>
      <c r="Q46" s="325">
        <v>0</v>
      </c>
      <c r="R46" s="325">
        <v>0</v>
      </c>
      <c r="S46" s="325">
        <v>0</v>
      </c>
      <c r="T46" s="325">
        <v>0</v>
      </c>
      <c r="U46" s="492">
        <f>O46+P46+Q46+R46+S46+T46</f>
        <v>0</v>
      </c>
      <c r="V46" s="325">
        <v>0</v>
      </c>
      <c r="W46" s="325">
        <v>0</v>
      </c>
      <c r="X46" s="325">
        <v>0</v>
      </c>
      <c r="Y46" s="492">
        <f>V46+W46+X46</f>
        <v>0</v>
      </c>
      <c r="Z46" s="492">
        <f>U46+Y46</f>
        <v>0</v>
      </c>
      <c r="AA46" s="494">
        <f>ROUND((U46+Y46)*33.8%,0)</f>
        <v>0</v>
      </c>
      <c r="AB46" s="494">
        <f>ROUND(U46*1%,0)</f>
        <v>0</v>
      </c>
      <c r="AC46" s="492">
        <v>0</v>
      </c>
      <c r="AD46" s="789">
        <f>Z46+AA46+AB46+AC46</f>
        <v>0</v>
      </c>
      <c r="AE46" s="715">
        <v>0</v>
      </c>
      <c r="AF46" s="326">
        <v>0</v>
      </c>
      <c r="AG46" s="326">
        <v>0</v>
      </c>
      <c r="AH46" s="326">
        <v>0</v>
      </c>
      <c r="AI46" s="326">
        <v>0</v>
      </c>
      <c r="AJ46" s="326">
        <v>0</v>
      </c>
      <c r="AK46" s="626">
        <f>SUM(AE46:AJ46)</f>
        <v>0</v>
      </c>
      <c r="AL46" s="493">
        <f>I46+AD46</f>
        <v>8066537</v>
      </c>
      <c r="AM46" s="492">
        <f>J46+U46</f>
        <v>5984078</v>
      </c>
      <c r="AN46" s="492">
        <f>Y46</f>
        <v>0</v>
      </c>
      <c r="AO46" s="492">
        <f>K46+AA46</f>
        <v>2022618</v>
      </c>
      <c r="AP46" s="492">
        <f>L46+AB46</f>
        <v>59841</v>
      </c>
      <c r="AQ46" s="578">
        <f t="shared" ref="AQ46:AQ47" si="134">M46+AC46</f>
        <v>0</v>
      </c>
      <c r="AR46" s="491">
        <f>N46+AK46</f>
        <v>10</v>
      </c>
    </row>
    <row r="47" spans="1:44" s="152" customFormat="1" ht="12.75" customHeight="1" x14ac:dyDescent="0.2">
      <c r="A47" s="154">
        <v>13</v>
      </c>
      <c r="B47" s="155">
        <v>3473</v>
      </c>
      <c r="C47" s="155">
        <v>691003530</v>
      </c>
      <c r="D47" s="155">
        <v>72550392</v>
      </c>
      <c r="E47" s="156" t="s">
        <v>31</v>
      </c>
      <c r="F47" s="155">
        <v>3111</v>
      </c>
      <c r="G47" s="156" t="s">
        <v>284</v>
      </c>
      <c r="H47" s="157" t="s">
        <v>263</v>
      </c>
      <c r="I47" s="627">
        <f>SUM(J47:L47)</f>
        <v>0</v>
      </c>
      <c r="J47" s="410"/>
      <c r="K47" s="431">
        <f t="shared" si="132"/>
        <v>0</v>
      </c>
      <c r="L47" s="431">
        <f t="shared" si="133"/>
        <v>0</v>
      </c>
      <c r="M47" s="431">
        <v>0</v>
      </c>
      <c r="N47" s="783">
        <v>0</v>
      </c>
      <c r="O47" s="445">
        <f>V47*-1</f>
        <v>0</v>
      </c>
      <c r="P47" s="325">
        <v>135634</v>
      </c>
      <c r="Q47" s="325">
        <v>0</v>
      </c>
      <c r="R47" s="325">
        <v>0</v>
      </c>
      <c r="S47" s="325">
        <v>0</v>
      </c>
      <c r="T47" s="325">
        <v>0</v>
      </c>
      <c r="U47" s="492">
        <f>O47+P47+Q47+R47+S47+T47</f>
        <v>135634</v>
      </c>
      <c r="V47" s="325">
        <v>0</v>
      </c>
      <c r="W47" s="325">
        <v>0</v>
      </c>
      <c r="X47" s="325">
        <v>0</v>
      </c>
      <c r="Y47" s="492">
        <f>V47+W47+X47</f>
        <v>0</v>
      </c>
      <c r="Z47" s="492">
        <f>U47+Y47</f>
        <v>135634</v>
      </c>
      <c r="AA47" s="494">
        <f>ROUND((U47+Y47)*33.8%,0)</f>
        <v>45844</v>
      </c>
      <c r="AB47" s="494">
        <f>ROUND(U47*1%,0)</f>
        <v>1356</v>
      </c>
      <c r="AC47" s="492">
        <v>0</v>
      </c>
      <c r="AD47" s="789">
        <f>Z47+AA47+AB47+AC47</f>
        <v>182834</v>
      </c>
      <c r="AE47" s="715">
        <v>0</v>
      </c>
      <c r="AF47" s="326">
        <v>0.46</v>
      </c>
      <c r="AG47" s="326">
        <v>0</v>
      </c>
      <c r="AH47" s="326">
        <v>0</v>
      </c>
      <c r="AI47" s="326">
        <v>0</v>
      </c>
      <c r="AJ47" s="326">
        <v>0</v>
      </c>
      <c r="AK47" s="626">
        <f>SUM(AE47:AJ47)</f>
        <v>0.46</v>
      </c>
      <c r="AL47" s="493">
        <f>I47+AD47</f>
        <v>182834</v>
      </c>
      <c r="AM47" s="492">
        <f>J47+U47</f>
        <v>135634</v>
      </c>
      <c r="AN47" s="492">
        <f>Y47</f>
        <v>0</v>
      </c>
      <c r="AO47" s="492">
        <f>K47+AA47</f>
        <v>45844</v>
      </c>
      <c r="AP47" s="492">
        <f>L47+AB47</f>
        <v>1356</v>
      </c>
      <c r="AQ47" s="578">
        <f t="shared" si="134"/>
        <v>0</v>
      </c>
      <c r="AR47" s="491">
        <f>N47+AK47</f>
        <v>0.46</v>
      </c>
    </row>
    <row r="48" spans="1:44" s="152" customFormat="1" ht="12.75" customHeight="1" x14ac:dyDescent="0.2">
      <c r="A48" s="105">
        <v>13</v>
      </c>
      <c r="B48" s="12">
        <v>3473</v>
      </c>
      <c r="C48" s="104">
        <v>691003530</v>
      </c>
      <c r="D48" s="104">
        <v>72550392</v>
      </c>
      <c r="E48" s="153" t="s">
        <v>32</v>
      </c>
      <c r="F48" s="12"/>
      <c r="G48" s="153"/>
      <c r="H48" s="407"/>
      <c r="I48" s="782">
        <f>SUM(I46:I47)</f>
        <v>8066537</v>
      </c>
      <c r="J48" s="378">
        <f t="shared" ref="J48:M48" si="135">SUM(J46:J47)</f>
        <v>5984078</v>
      </c>
      <c r="K48" s="378">
        <f t="shared" si="135"/>
        <v>2022618</v>
      </c>
      <c r="L48" s="378">
        <f t="shared" si="135"/>
        <v>59841</v>
      </c>
      <c r="M48" s="378">
        <f t="shared" si="135"/>
        <v>0</v>
      </c>
      <c r="N48" s="340">
        <f>SUM(N46:N47)</f>
        <v>10</v>
      </c>
      <c r="O48" s="444">
        <f>SUM(O46:O47)</f>
        <v>0</v>
      </c>
      <c r="P48" s="378">
        <f>SUM(P46:P47)</f>
        <v>135634</v>
      </c>
      <c r="Q48" s="378">
        <f t="shared" ref="Q48:AD48" si="136">SUM(Q46:Q47)</f>
        <v>0</v>
      </c>
      <c r="R48" s="378">
        <f t="shared" si="136"/>
        <v>0</v>
      </c>
      <c r="S48" s="378">
        <f t="shared" si="136"/>
        <v>0</v>
      </c>
      <c r="T48" s="378">
        <f t="shared" si="136"/>
        <v>0</v>
      </c>
      <c r="U48" s="378">
        <f t="shared" si="136"/>
        <v>135634</v>
      </c>
      <c r="V48" s="378">
        <f t="shared" si="136"/>
        <v>0</v>
      </c>
      <c r="W48" s="378">
        <f t="shared" si="136"/>
        <v>0</v>
      </c>
      <c r="X48" s="378">
        <f t="shared" si="136"/>
        <v>0</v>
      </c>
      <c r="Y48" s="378">
        <f t="shared" si="136"/>
        <v>0</v>
      </c>
      <c r="Z48" s="378">
        <f t="shared" si="136"/>
        <v>135634</v>
      </c>
      <c r="AA48" s="378">
        <f t="shared" si="136"/>
        <v>45844</v>
      </c>
      <c r="AB48" s="378">
        <f t="shared" si="136"/>
        <v>1356</v>
      </c>
      <c r="AC48" s="378">
        <f t="shared" si="136"/>
        <v>0</v>
      </c>
      <c r="AD48" s="788">
        <f t="shared" si="136"/>
        <v>182834</v>
      </c>
      <c r="AE48" s="790">
        <f>SUM(AE46:AE47)</f>
        <v>0</v>
      </c>
      <c r="AF48" s="398">
        <f t="shared" ref="AF48:AK48" si="137">SUM(AF46:AF47)</f>
        <v>0.46</v>
      </c>
      <c r="AG48" s="398">
        <f t="shared" si="137"/>
        <v>0</v>
      </c>
      <c r="AH48" s="398">
        <f t="shared" si="137"/>
        <v>0</v>
      </c>
      <c r="AI48" s="398">
        <f t="shared" si="137"/>
        <v>0</v>
      </c>
      <c r="AJ48" s="398">
        <f t="shared" si="137"/>
        <v>0</v>
      </c>
      <c r="AK48" s="340">
        <f t="shared" si="137"/>
        <v>0.46</v>
      </c>
      <c r="AL48" s="444">
        <f>SUM(AL46:AL47)</f>
        <v>8249371</v>
      </c>
      <c r="AM48" s="444">
        <f t="shared" ref="AM48:AQ48" si="138">SUM(AM46:AM47)</f>
        <v>6119712</v>
      </c>
      <c r="AN48" s="444">
        <f t="shared" si="138"/>
        <v>0</v>
      </c>
      <c r="AO48" s="444">
        <f t="shared" si="138"/>
        <v>2068462</v>
      </c>
      <c r="AP48" s="444">
        <f t="shared" si="138"/>
        <v>61197</v>
      </c>
      <c r="AQ48" s="444">
        <f t="shared" si="138"/>
        <v>0</v>
      </c>
      <c r="AR48" s="398">
        <f>SUM(AR46:AR47)</f>
        <v>10.46</v>
      </c>
    </row>
    <row r="49" spans="1:44" s="152" customFormat="1" ht="12.75" customHeight="1" x14ac:dyDescent="0.2">
      <c r="A49" s="154">
        <v>14</v>
      </c>
      <c r="B49" s="155">
        <v>3466</v>
      </c>
      <c r="C49" s="155">
        <v>691001260</v>
      </c>
      <c r="D49" s="155">
        <v>72048085</v>
      </c>
      <c r="E49" s="156" t="s">
        <v>33</v>
      </c>
      <c r="F49" s="155">
        <v>3111</v>
      </c>
      <c r="G49" s="156" t="s">
        <v>277</v>
      </c>
      <c r="H49" s="157" t="s">
        <v>262</v>
      </c>
      <c r="I49" s="627">
        <f>SUM(J49:L49)</f>
        <v>5039586</v>
      </c>
      <c r="J49" s="410">
        <v>3738565</v>
      </c>
      <c r="K49" s="431">
        <f t="shared" ref="K49:K50" si="139">ROUND(J49*33.8%,0)</f>
        <v>1263635</v>
      </c>
      <c r="L49" s="431">
        <f t="shared" ref="L49:L50" si="140">ROUND(J49*1%,0)</f>
        <v>37386</v>
      </c>
      <c r="M49" s="431">
        <v>0</v>
      </c>
      <c r="N49" s="783">
        <v>6</v>
      </c>
      <c r="O49" s="445">
        <f>V49*-1</f>
        <v>0</v>
      </c>
      <c r="P49" s="325">
        <v>0</v>
      </c>
      <c r="Q49" s="325">
        <v>0</v>
      </c>
      <c r="R49" s="325">
        <v>0</v>
      </c>
      <c r="S49" s="325">
        <v>0</v>
      </c>
      <c r="T49" s="325">
        <v>0</v>
      </c>
      <c r="U49" s="492">
        <f t="shared" ref="U49:U50" si="141">O49+P49+Q49+R49+S49+T49</f>
        <v>0</v>
      </c>
      <c r="V49" s="325">
        <v>0</v>
      </c>
      <c r="W49" s="325">
        <v>0</v>
      </c>
      <c r="X49" s="325">
        <v>0</v>
      </c>
      <c r="Y49" s="492">
        <f t="shared" ref="Y49:Y50" si="142">V49+W49+X49</f>
        <v>0</v>
      </c>
      <c r="Z49" s="492">
        <f t="shared" ref="Z49:Z50" si="143">U49+Y49</f>
        <v>0</v>
      </c>
      <c r="AA49" s="494">
        <f t="shared" ref="AA49:AA50" si="144">ROUND((U49+Y49)*33.8%,0)</f>
        <v>0</v>
      </c>
      <c r="AB49" s="494">
        <f t="shared" ref="AB49:AB50" si="145">ROUND(U49*1%,0)</f>
        <v>0</v>
      </c>
      <c r="AC49" s="492">
        <v>0</v>
      </c>
      <c r="AD49" s="789">
        <f t="shared" ref="AD49:AD50" si="146">Z49+AA49+AB49+AC49</f>
        <v>0</v>
      </c>
      <c r="AE49" s="715">
        <v>0</v>
      </c>
      <c r="AF49" s="326">
        <v>0</v>
      </c>
      <c r="AG49" s="326">
        <v>0</v>
      </c>
      <c r="AH49" s="326">
        <v>0</v>
      </c>
      <c r="AI49" s="326">
        <v>0</v>
      </c>
      <c r="AJ49" s="326">
        <v>0</v>
      </c>
      <c r="AK49" s="626">
        <f t="shared" ref="AK49:AK50" si="147">SUM(AE49:AJ49)</f>
        <v>0</v>
      </c>
      <c r="AL49" s="493">
        <f>I49+AD49</f>
        <v>5039586</v>
      </c>
      <c r="AM49" s="492">
        <f>J49+U49</f>
        <v>3738565</v>
      </c>
      <c r="AN49" s="492">
        <f t="shared" ref="AN49:AN50" si="148">Y49</f>
        <v>0</v>
      </c>
      <c r="AO49" s="492">
        <f>K49+AA49</f>
        <v>1263635</v>
      </c>
      <c r="AP49" s="492">
        <f>L49+AB49</f>
        <v>37386</v>
      </c>
      <c r="AQ49" s="578">
        <f t="shared" ref="AQ49:AQ50" si="149">M49+AC49</f>
        <v>0</v>
      </c>
      <c r="AR49" s="491">
        <f t="shared" ref="AR49:AR50" si="150">N49+AK49</f>
        <v>6</v>
      </c>
    </row>
    <row r="50" spans="1:44" s="152" customFormat="1" x14ac:dyDescent="0.2">
      <c r="A50" s="154">
        <v>14</v>
      </c>
      <c r="B50" s="155">
        <v>3466</v>
      </c>
      <c r="C50" s="155">
        <v>691001260</v>
      </c>
      <c r="D50" s="155">
        <v>72048085</v>
      </c>
      <c r="E50" s="156" t="s">
        <v>33</v>
      </c>
      <c r="F50" s="155">
        <v>3111</v>
      </c>
      <c r="G50" s="156" t="s">
        <v>278</v>
      </c>
      <c r="H50" s="157" t="s">
        <v>263</v>
      </c>
      <c r="I50" s="586">
        <f>SUM(J50:L50)</f>
        <v>0</v>
      </c>
      <c r="J50" s="323"/>
      <c r="K50" s="431">
        <f t="shared" si="139"/>
        <v>0</v>
      </c>
      <c r="L50" s="431">
        <f t="shared" si="140"/>
        <v>0</v>
      </c>
      <c r="M50" s="431">
        <v>0</v>
      </c>
      <c r="N50" s="784">
        <v>0</v>
      </c>
      <c r="O50" s="440">
        <f>V50*-1</f>
        <v>0</v>
      </c>
      <c r="P50" s="325">
        <v>848818</v>
      </c>
      <c r="Q50" s="325">
        <v>0</v>
      </c>
      <c r="R50" s="325">
        <v>0</v>
      </c>
      <c r="S50" s="325">
        <v>0</v>
      </c>
      <c r="T50" s="325">
        <v>0</v>
      </c>
      <c r="U50" s="492">
        <f t="shared" si="141"/>
        <v>848818</v>
      </c>
      <c r="V50" s="325">
        <v>0</v>
      </c>
      <c r="W50" s="325">
        <v>0</v>
      </c>
      <c r="X50" s="325">
        <v>0</v>
      </c>
      <c r="Y50" s="492">
        <f t="shared" si="142"/>
        <v>0</v>
      </c>
      <c r="Z50" s="492">
        <f t="shared" si="143"/>
        <v>848818</v>
      </c>
      <c r="AA50" s="494">
        <f t="shared" si="144"/>
        <v>286900</v>
      </c>
      <c r="AB50" s="494">
        <f t="shared" si="145"/>
        <v>8488</v>
      </c>
      <c r="AC50" s="492">
        <v>0</v>
      </c>
      <c r="AD50" s="789">
        <f t="shared" si="146"/>
        <v>1144206</v>
      </c>
      <c r="AE50" s="715">
        <v>0</v>
      </c>
      <c r="AF50" s="326">
        <v>2.14</v>
      </c>
      <c r="AG50" s="326">
        <v>0</v>
      </c>
      <c r="AH50" s="326">
        <v>0</v>
      </c>
      <c r="AI50" s="326">
        <v>0</v>
      </c>
      <c r="AJ50" s="326">
        <v>0</v>
      </c>
      <c r="AK50" s="626">
        <f t="shared" si="147"/>
        <v>2.14</v>
      </c>
      <c r="AL50" s="493">
        <f>I50+AD50</f>
        <v>1144206</v>
      </c>
      <c r="AM50" s="492">
        <f>J50+U50</f>
        <v>848818</v>
      </c>
      <c r="AN50" s="492">
        <f t="shared" si="148"/>
        <v>0</v>
      </c>
      <c r="AO50" s="492">
        <f>K50+AA50</f>
        <v>286900</v>
      </c>
      <c r="AP50" s="492">
        <f>L50+AB50</f>
        <v>8488</v>
      </c>
      <c r="AQ50" s="578">
        <f t="shared" si="149"/>
        <v>0</v>
      </c>
      <c r="AR50" s="491">
        <f t="shared" si="150"/>
        <v>2.14</v>
      </c>
    </row>
    <row r="51" spans="1:44" s="152" customFormat="1" ht="12.75" customHeight="1" x14ac:dyDescent="0.2">
      <c r="A51" s="105">
        <v>14</v>
      </c>
      <c r="B51" s="12">
        <v>3466</v>
      </c>
      <c r="C51" s="104">
        <v>691001260</v>
      </c>
      <c r="D51" s="104">
        <v>72048085</v>
      </c>
      <c r="E51" s="153" t="s">
        <v>34</v>
      </c>
      <c r="F51" s="12"/>
      <c r="G51" s="153"/>
      <c r="H51" s="407"/>
      <c r="I51" s="782">
        <f t="shared" ref="I51:AR51" si="151">SUM(I49:I50)</f>
        <v>5039586</v>
      </c>
      <c r="J51" s="378">
        <f t="shared" si="151"/>
        <v>3738565</v>
      </c>
      <c r="K51" s="378">
        <f t="shared" si="151"/>
        <v>1263635</v>
      </c>
      <c r="L51" s="378">
        <f t="shared" si="151"/>
        <v>37386</v>
      </c>
      <c r="M51" s="378">
        <f t="shared" si="151"/>
        <v>0</v>
      </c>
      <c r="N51" s="340">
        <f t="shared" si="151"/>
        <v>6</v>
      </c>
      <c r="O51" s="444">
        <f t="shared" si="151"/>
        <v>0</v>
      </c>
      <c r="P51" s="378">
        <f t="shared" si="151"/>
        <v>848818</v>
      </c>
      <c r="Q51" s="378">
        <f t="shared" si="151"/>
        <v>0</v>
      </c>
      <c r="R51" s="378">
        <f t="shared" si="151"/>
        <v>0</v>
      </c>
      <c r="S51" s="378">
        <f t="shared" si="151"/>
        <v>0</v>
      </c>
      <c r="T51" s="378">
        <f t="shared" si="151"/>
        <v>0</v>
      </c>
      <c r="U51" s="378">
        <f t="shared" si="151"/>
        <v>848818</v>
      </c>
      <c r="V51" s="378">
        <f t="shared" si="151"/>
        <v>0</v>
      </c>
      <c r="W51" s="378">
        <f t="shared" si="151"/>
        <v>0</v>
      </c>
      <c r="X51" s="378">
        <f t="shared" si="151"/>
        <v>0</v>
      </c>
      <c r="Y51" s="378">
        <f t="shared" si="151"/>
        <v>0</v>
      </c>
      <c r="Z51" s="378">
        <f t="shared" si="151"/>
        <v>848818</v>
      </c>
      <c r="AA51" s="378">
        <f t="shared" si="151"/>
        <v>286900</v>
      </c>
      <c r="AB51" s="378">
        <f t="shared" si="151"/>
        <v>8488</v>
      </c>
      <c r="AC51" s="378">
        <f t="shared" si="151"/>
        <v>0</v>
      </c>
      <c r="AD51" s="788">
        <f t="shared" si="151"/>
        <v>1144206</v>
      </c>
      <c r="AE51" s="790">
        <f t="shared" si="151"/>
        <v>0</v>
      </c>
      <c r="AF51" s="398">
        <f t="shared" si="151"/>
        <v>2.14</v>
      </c>
      <c r="AG51" s="398">
        <f t="shared" si="151"/>
        <v>0</v>
      </c>
      <c r="AH51" s="398">
        <f t="shared" si="151"/>
        <v>0</v>
      </c>
      <c r="AI51" s="398">
        <f t="shared" si="151"/>
        <v>0</v>
      </c>
      <c r="AJ51" s="398">
        <f t="shared" si="151"/>
        <v>0</v>
      </c>
      <c r="AK51" s="340">
        <f t="shared" si="151"/>
        <v>2.14</v>
      </c>
      <c r="AL51" s="444">
        <f t="shared" si="151"/>
        <v>6183792</v>
      </c>
      <c r="AM51" s="378">
        <f t="shared" si="151"/>
        <v>4587383</v>
      </c>
      <c r="AN51" s="378">
        <f t="shared" si="151"/>
        <v>0</v>
      </c>
      <c r="AO51" s="378">
        <f t="shared" si="151"/>
        <v>1550535</v>
      </c>
      <c r="AP51" s="378">
        <f t="shared" si="151"/>
        <v>45874</v>
      </c>
      <c r="AQ51" s="378">
        <f t="shared" si="151"/>
        <v>0</v>
      </c>
      <c r="AR51" s="398">
        <f t="shared" si="151"/>
        <v>8.14</v>
      </c>
    </row>
    <row r="52" spans="1:44" s="152" customFormat="1" ht="12.75" customHeight="1" x14ac:dyDescent="0.2">
      <c r="A52" s="154">
        <v>15</v>
      </c>
      <c r="B52" s="155">
        <v>3407</v>
      </c>
      <c r="C52" s="155">
        <v>667000089</v>
      </c>
      <c r="D52" s="155">
        <v>72743778</v>
      </c>
      <c r="E52" s="156" t="s">
        <v>35</v>
      </c>
      <c r="F52" s="155">
        <v>3111</v>
      </c>
      <c r="G52" s="156" t="s">
        <v>277</v>
      </c>
      <c r="H52" s="157" t="s">
        <v>262</v>
      </c>
      <c r="I52" s="627">
        <f>SUM(J52:L52)</f>
        <v>16335894</v>
      </c>
      <c r="J52" s="410">
        <v>12118615</v>
      </c>
      <c r="K52" s="431">
        <f t="shared" ref="K52:K53" si="152">ROUND(J52*33.8%,0)</f>
        <v>4096092</v>
      </c>
      <c r="L52" s="431">
        <f>ROUND(J52*1%,0)+1</f>
        <v>121187</v>
      </c>
      <c r="M52" s="431">
        <v>0</v>
      </c>
      <c r="N52" s="783">
        <v>20.53</v>
      </c>
      <c r="O52" s="445">
        <f>V52*-1</f>
        <v>0</v>
      </c>
      <c r="P52" s="325">
        <v>0</v>
      </c>
      <c r="Q52" s="325">
        <v>0</v>
      </c>
      <c r="R52" s="325">
        <v>0</v>
      </c>
      <c r="S52" s="325">
        <v>0</v>
      </c>
      <c r="T52" s="325">
        <v>0</v>
      </c>
      <c r="U52" s="492">
        <f t="shared" ref="U52:U53" si="153">O52+P52+Q52+R52+S52+T52</f>
        <v>0</v>
      </c>
      <c r="V52" s="325">
        <v>0</v>
      </c>
      <c r="W52" s="325">
        <v>0</v>
      </c>
      <c r="X52" s="325">
        <v>0</v>
      </c>
      <c r="Y52" s="492">
        <f t="shared" ref="Y52:Y53" si="154">V52+W52+X52</f>
        <v>0</v>
      </c>
      <c r="Z52" s="492">
        <f t="shared" ref="Z52:Z53" si="155">U52+Y52</f>
        <v>0</v>
      </c>
      <c r="AA52" s="494">
        <f t="shared" ref="AA52:AA53" si="156">ROUND((U52+Y52)*33.8%,0)</f>
        <v>0</v>
      </c>
      <c r="AB52" s="494">
        <f t="shared" ref="AB52:AB53" si="157">ROUND(U52*1%,0)</f>
        <v>0</v>
      </c>
      <c r="AC52" s="492">
        <v>0</v>
      </c>
      <c r="AD52" s="789">
        <f t="shared" ref="AD52:AD53" si="158">Z52+AA52+AB52+AC52</f>
        <v>0</v>
      </c>
      <c r="AE52" s="715">
        <v>0</v>
      </c>
      <c r="AF52" s="326">
        <v>0</v>
      </c>
      <c r="AG52" s="326">
        <v>0</v>
      </c>
      <c r="AH52" s="326">
        <v>0</v>
      </c>
      <c r="AI52" s="326">
        <v>0</v>
      </c>
      <c r="AJ52" s="326">
        <v>0</v>
      </c>
      <c r="AK52" s="626">
        <f t="shared" ref="AK52:AK53" si="159">SUM(AE52:AJ52)</f>
        <v>0</v>
      </c>
      <c r="AL52" s="493">
        <f>I52+AD52</f>
        <v>16335894</v>
      </c>
      <c r="AM52" s="492">
        <f>J52+U52</f>
        <v>12118615</v>
      </c>
      <c r="AN52" s="492">
        <f t="shared" ref="AN52:AN53" si="160">Y52</f>
        <v>0</v>
      </c>
      <c r="AO52" s="492">
        <f>K52+AA52</f>
        <v>4096092</v>
      </c>
      <c r="AP52" s="492">
        <f>L52+AB52</f>
        <v>121187</v>
      </c>
      <c r="AQ52" s="578">
        <f t="shared" ref="AQ52:AQ53" si="161">M52+AC52</f>
        <v>0</v>
      </c>
      <c r="AR52" s="491">
        <f t="shared" ref="AR52:AR53" si="162">N52+AK52</f>
        <v>20.53</v>
      </c>
    </row>
    <row r="53" spans="1:44" s="152" customFormat="1" ht="12.75" customHeight="1" x14ac:dyDescent="0.2">
      <c r="A53" s="154">
        <v>15</v>
      </c>
      <c r="B53" s="155">
        <v>3407</v>
      </c>
      <c r="C53" s="155">
        <v>667000089</v>
      </c>
      <c r="D53" s="155">
        <v>72743778</v>
      </c>
      <c r="E53" s="156" t="s">
        <v>35</v>
      </c>
      <c r="F53" s="155">
        <v>3111</v>
      </c>
      <c r="G53" s="156" t="s">
        <v>278</v>
      </c>
      <c r="H53" s="157" t="s">
        <v>263</v>
      </c>
      <c r="I53" s="586">
        <f>SUM(J53:L53)</f>
        <v>0</v>
      </c>
      <c r="J53" s="323"/>
      <c r="K53" s="431">
        <f t="shared" si="152"/>
        <v>0</v>
      </c>
      <c r="L53" s="431">
        <f t="shared" ref="L53" si="163">ROUND(J53*1%,0)</f>
        <v>0</v>
      </c>
      <c r="M53" s="431">
        <v>0</v>
      </c>
      <c r="N53" s="784">
        <v>0</v>
      </c>
      <c r="O53" s="440">
        <f>V53*-1</f>
        <v>0</v>
      </c>
      <c r="P53" s="325">
        <v>1686601</v>
      </c>
      <c r="Q53" s="325">
        <v>0</v>
      </c>
      <c r="R53" s="325">
        <v>0</v>
      </c>
      <c r="S53" s="325">
        <v>0</v>
      </c>
      <c r="T53" s="325">
        <v>0</v>
      </c>
      <c r="U53" s="492">
        <f t="shared" si="153"/>
        <v>1686601</v>
      </c>
      <c r="V53" s="325">
        <v>0</v>
      </c>
      <c r="W53" s="325">
        <v>0</v>
      </c>
      <c r="X53" s="325">
        <v>0</v>
      </c>
      <c r="Y53" s="492">
        <f t="shared" si="154"/>
        <v>0</v>
      </c>
      <c r="Z53" s="492">
        <f t="shared" si="155"/>
        <v>1686601</v>
      </c>
      <c r="AA53" s="494">
        <f t="shared" si="156"/>
        <v>570071</v>
      </c>
      <c r="AB53" s="494">
        <f t="shared" si="157"/>
        <v>16866</v>
      </c>
      <c r="AC53" s="492">
        <v>0</v>
      </c>
      <c r="AD53" s="789">
        <f t="shared" si="158"/>
        <v>2273538</v>
      </c>
      <c r="AE53" s="715">
        <v>0</v>
      </c>
      <c r="AF53" s="326">
        <v>4.25</v>
      </c>
      <c r="AG53" s="326">
        <v>0</v>
      </c>
      <c r="AH53" s="326">
        <v>0</v>
      </c>
      <c r="AI53" s="326">
        <v>0</v>
      </c>
      <c r="AJ53" s="326">
        <v>0</v>
      </c>
      <c r="AK53" s="626">
        <f t="shared" si="159"/>
        <v>4.25</v>
      </c>
      <c r="AL53" s="493">
        <f>I53+AD53</f>
        <v>2273538</v>
      </c>
      <c r="AM53" s="492">
        <f>J53+U53</f>
        <v>1686601</v>
      </c>
      <c r="AN53" s="492">
        <f t="shared" si="160"/>
        <v>0</v>
      </c>
      <c r="AO53" s="492">
        <f>K53+AA53</f>
        <v>570071</v>
      </c>
      <c r="AP53" s="492">
        <f>L53+AB53</f>
        <v>16866</v>
      </c>
      <c r="AQ53" s="578">
        <f t="shared" si="161"/>
        <v>0</v>
      </c>
      <c r="AR53" s="491">
        <f t="shared" si="162"/>
        <v>4.25</v>
      </c>
    </row>
    <row r="54" spans="1:44" s="152" customFormat="1" ht="12.75" customHeight="1" x14ac:dyDescent="0.2">
      <c r="A54" s="105">
        <v>15</v>
      </c>
      <c r="B54" s="12">
        <v>3407</v>
      </c>
      <c r="C54" s="104">
        <v>667000089</v>
      </c>
      <c r="D54" s="104">
        <v>72743778</v>
      </c>
      <c r="E54" s="153" t="s">
        <v>36</v>
      </c>
      <c r="F54" s="12"/>
      <c r="G54" s="153"/>
      <c r="H54" s="407"/>
      <c r="I54" s="782">
        <f t="shared" ref="I54:AR54" si="164">SUM(I52:I53)</f>
        <v>16335894</v>
      </c>
      <c r="J54" s="378">
        <f t="shared" si="164"/>
        <v>12118615</v>
      </c>
      <c r="K54" s="378">
        <f t="shared" si="164"/>
        <v>4096092</v>
      </c>
      <c r="L54" s="378">
        <f t="shared" si="164"/>
        <v>121187</v>
      </c>
      <c r="M54" s="378">
        <f t="shared" si="164"/>
        <v>0</v>
      </c>
      <c r="N54" s="340">
        <f t="shared" si="164"/>
        <v>20.53</v>
      </c>
      <c r="O54" s="444">
        <f t="shared" si="164"/>
        <v>0</v>
      </c>
      <c r="P54" s="378">
        <f t="shared" si="164"/>
        <v>1686601</v>
      </c>
      <c r="Q54" s="378">
        <f t="shared" si="164"/>
        <v>0</v>
      </c>
      <c r="R54" s="378">
        <f t="shared" si="164"/>
        <v>0</v>
      </c>
      <c r="S54" s="378">
        <f t="shared" si="164"/>
        <v>0</v>
      </c>
      <c r="T54" s="378">
        <f t="shared" si="164"/>
        <v>0</v>
      </c>
      <c r="U54" s="378">
        <f t="shared" si="164"/>
        <v>1686601</v>
      </c>
      <c r="V54" s="378">
        <f t="shared" si="164"/>
        <v>0</v>
      </c>
      <c r="W54" s="378">
        <f t="shared" si="164"/>
        <v>0</v>
      </c>
      <c r="X54" s="378">
        <f t="shared" si="164"/>
        <v>0</v>
      </c>
      <c r="Y54" s="378">
        <f t="shared" si="164"/>
        <v>0</v>
      </c>
      <c r="Z54" s="378">
        <f t="shared" si="164"/>
        <v>1686601</v>
      </c>
      <c r="AA54" s="378">
        <f t="shared" si="164"/>
        <v>570071</v>
      </c>
      <c r="AB54" s="378">
        <f t="shared" si="164"/>
        <v>16866</v>
      </c>
      <c r="AC54" s="378">
        <f t="shared" si="164"/>
        <v>0</v>
      </c>
      <c r="AD54" s="788">
        <f t="shared" si="164"/>
        <v>2273538</v>
      </c>
      <c r="AE54" s="790">
        <f t="shared" si="164"/>
        <v>0</v>
      </c>
      <c r="AF54" s="398">
        <f t="shared" si="164"/>
        <v>4.25</v>
      </c>
      <c r="AG54" s="398">
        <f t="shared" si="164"/>
        <v>0</v>
      </c>
      <c r="AH54" s="398">
        <f t="shared" si="164"/>
        <v>0</v>
      </c>
      <c r="AI54" s="398">
        <f t="shared" si="164"/>
        <v>0</v>
      </c>
      <c r="AJ54" s="398">
        <f t="shared" si="164"/>
        <v>0</v>
      </c>
      <c r="AK54" s="340">
        <f t="shared" si="164"/>
        <v>4.25</v>
      </c>
      <c r="AL54" s="444">
        <f t="shared" si="164"/>
        <v>18609432</v>
      </c>
      <c r="AM54" s="378">
        <f t="shared" si="164"/>
        <v>13805216</v>
      </c>
      <c r="AN54" s="378">
        <f t="shared" si="164"/>
        <v>0</v>
      </c>
      <c r="AO54" s="378">
        <f t="shared" si="164"/>
        <v>4666163</v>
      </c>
      <c r="AP54" s="378">
        <f t="shared" si="164"/>
        <v>138053</v>
      </c>
      <c r="AQ54" s="378">
        <f t="shared" si="164"/>
        <v>0</v>
      </c>
      <c r="AR54" s="398">
        <f t="shared" si="164"/>
        <v>24.78</v>
      </c>
    </row>
    <row r="55" spans="1:44" s="152" customFormat="1" ht="12.75" customHeight="1" x14ac:dyDescent="0.2">
      <c r="A55" s="154">
        <v>16</v>
      </c>
      <c r="B55" s="155">
        <v>3463</v>
      </c>
      <c r="C55" s="155">
        <v>691001308</v>
      </c>
      <c r="D55" s="155">
        <v>72048166</v>
      </c>
      <c r="E55" s="156" t="s">
        <v>37</v>
      </c>
      <c r="F55" s="155">
        <v>3111</v>
      </c>
      <c r="G55" s="156" t="s">
        <v>277</v>
      </c>
      <c r="H55" s="157" t="s">
        <v>262</v>
      </c>
      <c r="I55" s="627">
        <f>SUM(J55:L55)</f>
        <v>7037718</v>
      </c>
      <c r="J55" s="410">
        <v>5220859</v>
      </c>
      <c r="K55" s="431">
        <f t="shared" ref="K55:K56" si="165">ROUND(J55*33.8%,0)</f>
        <v>1764650</v>
      </c>
      <c r="L55" s="431">
        <f t="shared" ref="L55:L56" si="166">ROUND(J55*1%,0)</f>
        <v>52209</v>
      </c>
      <c r="M55" s="431">
        <v>0</v>
      </c>
      <c r="N55" s="783">
        <v>8.4499999999999993</v>
      </c>
      <c r="O55" s="445">
        <f>V55*-1</f>
        <v>-12000</v>
      </c>
      <c r="P55" s="325">
        <v>0</v>
      </c>
      <c r="Q55" s="325">
        <v>0</v>
      </c>
      <c r="R55" s="325">
        <v>0</v>
      </c>
      <c r="S55" s="325">
        <v>0</v>
      </c>
      <c r="T55" s="325">
        <v>0</v>
      </c>
      <c r="U55" s="492">
        <f t="shared" ref="U55:U56" si="167">O55+P55+Q55+R55+S55+T55</f>
        <v>-12000</v>
      </c>
      <c r="V55" s="325">
        <v>12000</v>
      </c>
      <c r="W55" s="325">
        <v>0</v>
      </c>
      <c r="X55" s="325">
        <v>0</v>
      </c>
      <c r="Y55" s="492">
        <f t="shared" ref="Y55:Y56" si="168">V55+W55+X55</f>
        <v>12000</v>
      </c>
      <c r="Z55" s="492">
        <f t="shared" ref="Z55:Z56" si="169">U55+Y55</f>
        <v>0</v>
      </c>
      <c r="AA55" s="494">
        <f t="shared" ref="AA55:AA56" si="170">ROUND((U55+Y55)*33.8%,0)</f>
        <v>0</v>
      </c>
      <c r="AB55" s="494">
        <f t="shared" ref="AB55:AB56" si="171">ROUND(U55*1%,0)</f>
        <v>-120</v>
      </c>
      <c r="AC55" s="492">
        <v>0</v>
      </c>
      <c r="AD55" s="789">
        <f t="shared" ref="AD55:AD56" si="172">Z55+AA55+AB55+AC55</f>
        <v>-120</v>
      </c>
      <c r="AE55" s="715">
        <v>0</v>
      </c>
      <c r="AF55" s="326">
        <v>0</v>
      </c>
      <c r="AG55" s="326">
        <v>0</v>
      </c>
      <c r="AH55" s="326">
        <v>0</v>
      </c>
      <c r="AI55" s="326">
        <v>0</v>
      </c>
      <c r="AJ55" s="326">
        <v>0</v>
      </c>
      <c r="AK55" s="626">
        <f t="shared" ref="AK55:AK56" si="173">SUM(AE55:AJ55)</f>
        <v>0</v>
      </c>
      <c r="AL55" s="493">
        <f>I55+AD55</f>
        <v>7037598</v>
      </c>
      <c r="AM55" s="492">
        <f>J55+U55</f>
        <v>5208859</v>
      </c>
      <c r="AN55" s="492">
        <f t="shared" ref="AN55:AN56" si="174">Y55</f>
        <v>12000</v>
      </c>
      <c r="AO55" s="492">
        <f>K55+AA55</f>
        <v>1764650</v>
      </c>
      <c r="AP55" s="492">
        <f>L55+AB55</f>
        <v>52089</v>
      </c>
      <c r="AQ55" s="578">
        <f t="shared" ref="AQ55:AQ56" si="175">M55+AC55</f>
        <v>0</v>
      </c>
      <c r="AR55" s="491">
        <f t="shared" ref="AR55:AR56" si="176">N55+AK55</f>
        <v>8.4499999999999993</v>
      </c>
    </row>
    <row r="56" spans="1:44" s="152" customFormat="1" x14ac:dyDescent="0.2">
      <c r="A56" s="154">
        <v>16</v>
      </c>
      <c r="B56" s="155">
        <v>3463</v>
      </c>
      <c r="C56" s="155">
        <v>691001308</v>
      </c>
      <c r="D56" s="155">
        <v>72048166</v>
      </c>
      <c r="E56" s="156" t="s">
        <v>37</v>
      </c>
      <c r="F56" s="155">
        <v>3111</v>
      </c>
      <c r="G56" s="156" t="s">
        <v>278</v>
      </c>
      <c r="H56" s="157" t="s">
        <v>263</v>
      </c>
      <c r="I56" s="586">
        <f>SUM(J56:L56)</f>
        <v>0</v>
      </c>
      <c r="J56" s="323"/>
      <c r="K56" s="431">
        <f t="shared" si="165"/>
        <v>0</v>
      </c>
      <c r="L56" s="431">
        <f t="shared" si="166"/>
        <v>0</v>
      </c>
      <c r="M56" s="431">
        <v>0</v>
      </c>
      <c r="N56" s="784">
        <v>0</v>
      </c>
      <c r="O56" s="440">
        <f>V56*-1</f>
        <v>0</v>
      </c>
      <c r="P56" s="325">
        <v>1296503</v>
      </c>
      <c r="Q56" s="325">
        <v>0</v>
      </c>
      <c r="R56" s="325">
        <v>0</v>
      </c>
      <c r="S56" s="325">
        <v>0</v>
      </c>
      <c r="T56" s="325">
        <v>0</v>
      </c>
      <c r="U56" s="492">
        <f t="shared" si="167"/>
        <v>1296503</v>
      </c>
      <c r="V56" s="325">
        <v>0</v>
      </c>
      <c r="W56" s="325">
        <v>0</v>
      </c>
      <c r="X56" s="325">
        <v>0</v>
      </c>
      <c r="Y56" s="492">
        <f t="shared" si="168"/>
        <v>0</v>
      </c>
      <c r="Z56" s="492">
        <f t="shared" si="169"/>
        <v>1296503</v>
      </c>
      <c r="AA56" s="494">
        <f t="shared" si="170"/>
        <v>438218</v>
      </c>
      <c r="AB56" s="494">
        <f t="shared" si="171"/>
        <v>12965</v>
      </c>
      <c r="AC56" s="492">
        <v>0</v>
      </c>
      <c r="AD56" s="789">
        <f t="shared" si="172"/>
        <v>1747686</v>
      </c>
      <c r="AE56" s="715">
        <v>0</v>
      </c>
      <c r="AF56" s="326">
        <v>3.2</v>
      </c>
      <c r="AG56" s="326">
        <v>0</v>
      </c>
      <c r="AH56" s="326">
        <v>0</v>
      </c>
      <c r="AI56" s="326">
        <v>0</v>
      </c>
      <c r="AJ56" s="326">
        <v>0</v>
      </c>
      <c r="AK56" s="626">
        <f t="shared" si="173"/>
        <v>3.2</v>
      </c>
      <c r="AL56" s="493">
        <f>I56+AD56</f>
        <v>1747686</v>
      </c>
      <c r="AM56" s="492">
        <f>J56+U56</f>
        <v>1296503</v>
      </c>
      <c r="AN56" s="492">
        <f t="shared" si="174"/>
        <v>0</v>
      </c>
      <c r="AO56" s="492">
        <f>K56+AA56</f>
        <v>438218</v>
      </c>
      <c r="AP56" s="492">
        <f>L56+AB56</f>
        <v>12965</v>
      </c>
      <c r="AQ56" s="578">
        <f t="shared" si="175"/>
        <v>0</v>
      </c>
      <c r="AR56" s="491">
        <f t="shared" si="176"/>
        <v>3.2</v>
      </c>
    </row>
    <row r="57" spans="1:44" s="152" customFormat="1" ht="12.75" customHeight="1" x14ac:dyDescent="0.2">
      <c r="A57" s="105">
        <v>16</v>
      </c>
      <c r="B57" s="12">
        <v>3463</v>
      </c>
      <c r="C57" s="104">
        <v>691001308</v>
      </c>
      <c r="D57" s="104">
        <v>72048166</v>
      </c>
      <c r="E57" s="153" t="s">
        <v>38</v>
      </c>
      <c r="F57" s="12"/>
      <c r="G57" s="153"/>
      <c r="H57" s="407"/>
      <c r="I57" s="782">
        <f t="shared" ref="I57:AR57" si="177">SUM(I55:I56)</f>
        <v>7037718</v>
      </c>
      <c r="J57" s="378">
        <f t="shared" si="177"/>
        <v>5220859</v>
      </c>
      <c r="K57" s="378">
        <f t="shared" si="177"/>
        <v>1764650</v>
      </c>
      <c r="L57" s="378">
        <f t="shared" si="177"/>
        <v>52209</v>
      </c>
      <c r="M57" s="378">
        <f t="shared" si="177"/>
        <v>0</v>
      </c>
      <c r="N57" s="340">
        <f t="shared" si="177"/>
        <v>8.4499999999999993</v>
      </c>
      <c r="O57" s="444">
        <f t="shared" si="177"/>
        <v>-12000</v>
      </c>
      <c r="P57" s="378">
        <f t="shared" si="177"/>
        <v>1296503</v>
      </c>
      <c r="Q57" s="378">
        <f t="shared" si="177"/>
        <v>0</v>
      </c>
      <c r="R57" s="378">
        <f t="shared" si="177"/>
        <v>0</v>
      </c>
      <c r="S57" s="378">
        <f t="shared" si="177"/>
        <v>0</v>
      </c>
      <c r="T57" s="378">
        <f t="shared" si="177"/>
        <v>0</v>
      </c>
      <c r="U57" s="378">
        <f t="shared" si="177"/>
        <v>1284503</v>
      </c>
      <c r="V57" s="378">
        <f t="shared" si="177"/>
        <v>12000</v>
      </c>
      <c r="W57" s="378">
        <f t="shared" si="177"/>
        <v>0</v>
      </c>
      <c r="X57" s="378">
        <f t="shared" si="177"/>
        <v>0</v>
      </c>
      <c r="Y57" s="378">
        <f t="shared" si="177"/>
        <v>12000</v>
      </c>
      <c r="Z57" s="378">
        <f t="shared" si="177"/>
        <v>1296503</v>
      </c>
      <c r="AA57" s="378">
        <f t="shared" si="177"/>
        <v>438218</v>
      </c>
      <c r="AB57" s="378">
        <f t="shared" si="177"/>
        <v>12845</v>
      </c>
      <c r="AC57" s="378">
        <f t="shared" si="177"/>
        <v>0</v>
      </c>
      <c r="AD57" s="788">
        <f t="shared" si="177"/>
        <v>1747566</v>
      </c>
      <c r="AE57" s="790">
        <f t="shared" si="177"/>
        <v>0</v>
      </c>
      <c r="AF57" s="398">
        <f t="shared" si="177"/>
        <v>3.2</v>
      </c>
      <c r="AG57" s="398">
        <f t="shared" si="177"/>
        <v>0</v>
      </c>
      <c r="AH57" s="398">
        <f t="shared" si="177"/>
        <v>0</v>
      </c>
      <c r="AI57" s="398">
        <f t="shared" si="177"/>
        <v>0</v>
      </c>
      <c r="AJ57" s="398">
        <f t="shared" si="177"/>
        <v>0</v>
      </c>
      <c r="AK57" s="340">
        <f t="shared" si="177"/>
        <v>3.2</v>
      </c>
      <c r="AL57" s="444">
        <f t="shared" si="177"/>
        <v>8785284</v>
      </c>
      <c r="AM57" s="378">
        <f t="shared" si="177"/>
        <v>6505362</v>
      </c>
      <c r="AN57" s="378">
        <f t="shared" si="177"/>
        <v>12000</v>
      </c>
      <c r="AO57" s="378">
        <f t="shared" si="177"/>
        <v>2202868</v>
      </c>
      <c r="AP57" s="378">
        <f t="shared" si="177"/>
        <v>65054</v>
      </c>
      <c r="AQ57" s="378">
        <f t="shared" si="177"/>
        <v>0</v>
      </c>
      <c r="AR57" s="398">
        <f t="shared" si="177"/>
        <v>11.649999999999999</v>
      </c>
    </row>
    <row r="58" spans="1:44" s="152" customFormat="1" ht="12.75" customHeight="1" x14ac:dyDescent="0.2">
      <c r="A58" s="154">
        <v>17</v>
      </c>
      <c r="B58" s="155">
        <v>3460</v>
      </c>
      <c r="C58" s="155">
        <v>691000387</v>
      </c>
      <c r="D58" s="155">
        <v>86797034</v>
      </c>
      <c r="E58" s="156" t="s">
        <v>39</v>
      </c>
      <c r="F58" s="155">
        <v>3111</v>
      </c>
      <c r="G58" s="156" t="s">
        <v>277</v>
      </c>
      <c r="H58" s="157" t="s">
        <v>262</v>
      </c>
      <c r="I58" s="627">
        <f>SUM(J58:L58)</f>
        <v>6425797</v>
      </c>
      <c r="J58" s="410">
        <v>4766912</v>
      </c>
      <c r="K58" s="431">
        <f t="shared" ref="K58:K59" si="178">ROUND(J58*33.8%,0)</f>
        <v>1611216</v>
      </c>
      <c r="L58" s="431">
        <f t="shared" ref="L58:L59" si="179">ROUND(J58*1%,0)</f>
        <v>47669</v>
      </c>
      <c r="M58" s="431">
        <v>0</v>
      </c>
      <c r="N58" s="783">
        <v>8.1</v>
      </c>
      <c r="O58" s="445">
        <f>V58*-1</f>
        <v>0</v>
      </c>
      <c r="P58" s="325">
        <v>0</v>
      </c>
      <c r="Q58" s="325">
        <v>0</v>
      </c>
      <c r="R58" s="325">
        <v>0</v>
      </c>
      <c r="S58" s="325">
        <v>0</v>
      </c>
      <c r="T58" s="325">
        <v>0</v>
      </c>
      <c r="U58" s="492">
        <f t="shared" ref="U58:U59" si="180">O58+P58+Q58+R58+S58+T58</f>
        <v>0</v>
      </c>
      <c r="V58" s="325">
        <v>0</v>
      </c>
      <c r="W58" s="325">
        <v>0</v>
      </c>
      <c r="X58" s="325">
        <v>0</v>
      </c>
      <c r="Y58" s="492">
        <f t="shared" ref="Y58:Y59" si="181">V58+W58+X58</f>
        <v>0</v>
      </c>
      <c r="Z58" s="492">
        <f t="shared" ref="Z58:Z59" si="182">U58+Y58</f>
        <v>0</v>
      </c>
      <c r="AA58" s="494">
        <f t="shared" ref="AA58:AA59" si="183">ROUND((U58+Y58)*33.8%,0)</f>
        <v>0</v>
      </c>
      <c r="AB58" s="494">
        <f t="shared" ref="AB58:AB59" si="184">ROUND(U58*1%,0)</f>
        <v>0</v>
      </c>
      <c r="AC58" s="492">
        <v>0</v>
      </c>
      <c r="AD58" s="789">
        <f t="shared" ref="AD58:AD59" si="185">Z58+AA58+AB58+AC58</f>
        <v>0</v>
      </c>
      <c r="AE58" s="715">
        <v>0</v>
      </c>
      <c r="AF58" s="326">
        <v>0</v>
      </c>
      <c r="AG58" s="326">
        <v>0</v>
      </c>
      <c r="AH58" s="326">
        <v>0</v>
      </c>
      <c r="AI58" s="326">
        <v>0</v>
      </c>
      <c r="AJ58" s="326">
        <v>0</v>
      </c>
      <c r="AK58" s="626">
        <f t="shared" ref="AK58:AK59" si="186">SUM(AE58:AJ58)</f>
        <v>0</v>
      </c>
      <c r="AL58" s="493">
        <f>I58+AD58</f>
        <v>6425797</v>
      </c>
      <c r="AM58" s="492">
        <f>J58+U58</f>
        <v>4766912</v>
      </c>
      <c r="AN58" s="492">
        <f t="shared" ref="AN58:AN59" si="187">Y58</f>
        <v>0</v>
      </c>
      <c r="AO58" s="492">
        <f>K58+AA58</f>
        <v>1611216</v>
      </c>
      <c r="AP58" s="492">
        <f>L58+AB58</f>
        <v>47669</v>
      </c>
      <c r="AQ58" s="578">
        <f t="shared" ref="AQ58:AQ59" si="188">M58+AC58</f>
        <v>0</v>
      </c>
      <c r="AR58" s="491">
        <f t="shared" ref="AR58:AR59" si="189">N58+AK58</f>
        <v>8.1</v>
      </c>
    </row>
    <row r="59" spans="1:44" s="152" customFormat="1" ht="12.75" customHeight="1" x14ac:dyDescent="0.2">
      <c r="A59" s="154">
        <v>17</v>
      </c>
      <c r="B59" s="155">
        <v>3460</v>
      </c>
      <c r="C59" s="155">
        <v>691000387</v>
      </c>
      <c r="D59" s="155">
        <v>86797034</v>
      </c>
      <c r="E59" s="156" t="s">
        <v>39</v>
      </c>
      <c r="F59" s="155">
        <v>3111</v>
      </c>
      <c r="G59" s="156" t="s">
        <v>278</v>
      </c>
      <c r="H59" s="157" t="s">
        <v>263</v>
      </c>
      <c r="I59" s="586">
        <f>SUM(J59:L59)</f>
        <v>0</v>
      </c>
      <c r="J59" s="323"/>
      <c r="K59" s="431">
        <f t="shared" si="178"/>
        <v>0</v>
      </c>
      <c r="L59" s="431">
        <f t="shared" si="179"/>
        <v>0</v>
      </c>
      <c r="M59" s="431">
        <v>0</v>
      </c>
      <c r="N59" s="784">
        <v>0</v>
      </c>
      <c r="O59" s="440">
        <f>V59*-1</f>
        <v>0</v>
      </c>
      <c r="P59" s="325">
        <v>198424</v>
      </c>
      <c r="Q59" s="325">
        <v>0</v>
      </c>
      <c r="R59" s="325">
        <v>0</v>
      </c>
      <c r="S59" s="325">
        <v>0</v>
      </c>
      <c r="T59" s="325">
        <v>0</v>
      </c>
      <c r="U59" s="492">
        <f t="shared" si="180"/>
        <v>198424</v>
      </c>
      <c r="V59" s="325">
        <v>0</v>
      </c>
      <c r="W59" s="325">
        <v>0</v>
      </c>
      <c r="X59" s="325">
        <v>0</v>
      </c>
      <c r="Y59" s="492">
        <f t="shared" si="181"/>
        <v>0</v>
      </c>
      <c r="Z59" s="492">
        <f t="shared" si="182"/>
        <v>198424</v>
      </c>
      <c r="AA59" s="494">
        <f t="shared" si="183"/>
        <v>67067</v>
      </c>
      <c r="AB59" s="494">
        <f t="shared" si="184"/>
        <v>1984</v>
      </c>
      <c r="AC59" s="492">
        <v>0</v>
      </c>
      <c r="AD59" s="789">
        <f t="shared" si="185"/>
        <v>267475</v>
      </c>
      <c r="AE59" s="715">
        <v>0</v>
      </c>
      <c r="AF59" s="326">
        <v>0.5</v>
      </c>
      <c r="AG59" s="326">
        <v>0</v>
      </c>
      <c r="AH59" s="326">
        <v>0</v>
      </c>
      <c r="AI59" s="326">
        <v>0</v>
      </c>
      <c r="AJ59" s="326">
        <v>0</v>
      </c>
      <c r="AK59" s="626">
        <f t="shared" si="186"/>
        <v>0.5</v>
      </c>
      <c r="AL59" s="493">
        <f>I59+AD59</f>
        <v>267475</v>
      </c>
      <c r="AM59" s="492">
        <f>J59+U59</f>
        <v>198424</v>
      </c>
      <c r="AN59" s="492">
        <f t="shared" si="187"/>
        <v>0</v>
      </c>
      <c r="AO59" s="492">
        <f>K59+AA59</f>
        <v>67067</v>
      </c>
      <c r="AP59" s="492">
        <f>L59+AB59</f>
        <v>1984</v>
      </c>
      <c r="AQ59" s="578">
        <f t="shared" si="188"/>
        <v>0</v>
      </c>
      <c r="AR59" s="491">
        <f t="shared" si="189"/>
        <v>0.5</v>
      </c>
    </row>
    <row r="60" spans="1:44" s="152" customFormat="1" ht="12.75" customHeight="1" x14ac:dyDescent="0.2">
      <c r="A60" s="105">
        <v>17</v>
      </c>
      <c r="B60" s="12">
        <v>3460</v>
      </c>
      <c r="C60" s="104">
        <v>691000387</v>
      </c>
      <c r="D60" s="104">
        <v>86797034</v>
      </c>
      <c r="E60" s="153" t="s">
        <v>40</v>
      </c>
      <c r="F60" s="12"/>
      <c r="G60" s="153"/>
      <c r="H60" s="407"/>
      <c r="I60" s="782">
        <f t="shared" ref="I60:AR60" si="190">SUM(I58:I59)</f>
        <v>6425797</v>
      </c>
      <c r="J60" s="378">
        <f t="shared" si="190"/>
        <v>4766912</v>
      </c>
      <c r="K60" s="378">
        <f t="shared" si="190"/>
        <v>1611216</v>
      </c>
      <c r="L60" s="378">
        <f t="shared" si="190"/>
        <v>47669</v>
      </c>
      <c r="M60" s="378">
        <f t="shared" si="190"/>
        <v>0</v>
      </c>
      <c r="N60" s="340">
        <f t="shared" si="190"/>
        <v>8.1</v>
      </c>
      <c r="O60" s="444">
        <f t="shared" si="190"/>
        <v>0</v>
      </c>
      <c r="P60" s="378">
        <f t="shared" si="190"/>
        <v>198424</v>
      </c>
      <c r="Q60" s="378">
        <f t="shared" si="190"/>
        <v>0</v>
      </c>
      <c r="R60" s="378">
        <f t="shared" si="190"/>
        <v>0</v>
      </c>
      <c r="S60" s="378">
        <f t="shared" si="190"/>
        <v>0</v>
      </c>
      <c r="T60" s="378">
        <f t="shared" si="190"/>
        <v>0</v>
      </c>
      <c r="U60" s="378">
        <f t="shared" si="190"/>
        <v>198424</v>
      </c>
      <c r="V60" s="378">
        <f t="shared" si="190"/>
        <v>0</v>
      </c>
      <c r="W60" s="378">
        <f t="shared" si="190"/>
        <v>0</v>
      </c>
      <c r="X60" s="378">
        <f t="shared" si="190"/>
        <v>0</v>
      </c>
      <c r="Y60" s="378">
        <f t="shared" si="190"/>
        <v>0</v>
      </c>
      <c r="Z60" s="378">
        <f t="shared" si="190"/>
        <v>198424</v>
      </c>
      <c r="AA60" s="378">
        <f t="shared" si="190"/>
        <v>67067</v>
      </c>
      <c r="AB60" s="378">
        <f t="shared" si="190"/>
        <v>1984</v>
      </c>
      <c r="AC60" s="378">
        <f t="shared" si="190"/>
        <v>0</v>
      </c>
      <c r="AD60" s="788">
        <f t="shared" si="190"/>
        <v>267475</v>
      </c>
      <c r="AE60" s="790">
        <f t="shared" si="190"/>
        <v>0</v>
      </c>
      <c r="AF60" s="398">
        <f t="shared" si="190"/>
        <v>0.5</v>
      </c>
      <c r="AG60" s="398">
        <f t="shared" si="190"/>
        <v>0</v>
      </c>
      <c r="AH60" s="398">
        <f t="shared" si="190"/>
        <v>0</v>
      </c>
      <c r="AI60" s="398">
        <f t="shared" si="190"/>
        <v>0</v>
      </c>
      <c r="AJ60" s="398">
        <f t="shared" si="190"/>
        <v>0</v>
      </c>
      <c r="AK60" s="340">
        <f t="shared" si="190"/>
        <v>0.5</v>
      </c>
      <c r="AL60" s="444">
        <f t="shared" si="190"/>
        <v>6693272</v>
      </c>
      <c r="AM60" s="378">
        <f t="shared" si="190"/>
        <v>4965336</v>
      </c>
      <c r="AN60" s="378">
        <f t="shared" si="190"/>
        <v>0</v>
      </c>
      <c r="AO60" s="378">
        <f t="shared" si="190"/>
        <v>1678283</v>
      </c>
      <c r="AP60" s="378">
        <f t="shared" si="190"/>
        <v>49653</v>
      </c>
      <c r="AQ60" s="378">
        <f t="shared" si="190"/>
        <v>0</v>
      </c>
      <c r="AR60" s="398">
        <f t="shared" si="190"/>
        <v>8.6</v>
      </c>
    </row>
    <row r="61" spans="1:44" s="152" customFormat="1" ht="12.75" customHeight="1" x14ac:dyDescent="0.2">
      <c r="A61" s="154">
        <v>18</v>
      </c>
      <c r="B61" s="155">
        <v>3413</v>
      </c>
      <c r="C61" s="155">
        <v>600077918</v>
      </c>
      <c r="D61" s="155">
        <v>72743433</v>
      </c>
      <c r="E61" s="156" t="s">
        <v>264</v>
      </c>
      <c r="F61" s="155">
        <v>3111</v>
      </c>
      <c r="G61" s="156" t="s">
        <v>277</v>
      </c>
      <c r="H61" s="157" t="s">
        <v>262</v>
      </c>
      <c r="I61" s="627">
        <f>SUM(J61:L61)</f>
        <v>10618875</v>
      </c>
      <c r="J61" s="410">
        <v>7877504</v>
      </c>
      <c r="K61" s="431">
        <f t="shared" ref="K61:K63" si="191">ROUND(J61*33.8%,0)</f>
        <v>2662596</v>
      </c>
      <c r="L61" s="431">
        <f t="shared" ref="L61:L63" si="192">ROUND(J61*1%,0)</f>
        <v>78775</v>
      </c>
      <c r="M61" s="431">
        <v>0</v>
      </c>
      <c r="N61" s="783">
        <v>12.71</v>
      </c>
      <c r="O61" s="445">
        <f>V61*-1</f>
        <v>0</v>
      </c>
      <c r="P61" s="325">
        <v>0</v>
      </c>
      <c r="Q61" s="325">
        <v>0</v>
      </c>
      <c r="R61" s="325">
        <v>0</v>
      </c>
      <c r="S61" s="325">
        <v>0</v>
      </c>
      <c r="T61" s="325">
        <v>0</v>
      </c>
      <c r="U61" s="492">
        <f t="shared" ref="U61:U63" si="193">O61+P61+Q61+R61+S61+T61</f>
        <v>0</v>
      </c>
      <c r="V61" s="325">
        <v>0</v>
      </c>
      <c r="W61" s="325">
        <v>0</v>
      </c>
      <c r="X61" s="325">
        <v>0</v>
      </c>
      <c r="Y61" s="492">
        <f t="shared" ref="Y61:Y63" si="194">V61+W61+X61</f>
        <v>0</v>
      </c>
      <c r="Z61" s="492">
        <f t="shared" ref="Z61:Z63" si="195">U61+Y61</f>
        <v>0</v>
      </c>
      <c r="AA61" s="494">
        <f t="shared" ref="AA61:AA63" si="196">ROUND((U61+Y61)*33.8%,0)</f>
        <v>0</v>
      </c>
      <c r="AB61" s="494">
        <f t="shared" ref="AB61:AB63" si="197">ROUND(U61*1%,0)</f>
        <v>0</v>
      </c>
      <c r="AC61" s="492">
        <v>0</v>
      </c>
      <c r="AD61" s="789">
        <f t="shared" ref="AD61:AD63" si="198">Z61+AA61+AB61+AC61</f>
        <v>0</v>
      </c>
      <c r="AE61" s="715">
        <v>0</v>
      </c>
      <c r="AF61" s="326">
        <v>0</v>
      </c>
      <c r="AG61" s="326">
        <v>0</v>
      </c>
      <c r="AH61" s="326">
        <v>0</v>
      </c>
      <c r="AI61" s="326">
        <v>0</v>
      </c>
      <c r="AJ61" s="326">
        <v>0</v>
      </c>
      <c r="AK61" s="626">
        <f t="shared" ref="AK61:AK63" si="199">SUM(AE61:AJ61)</f>
        <v>0</v>
      </c>
      <c r="AL61" s="493">
        <f>I61+AD61</f>
        <v>10618875</v>
      </c>
      <c r="AM61" s="492">
        <f>J61+U61</f>
        <v>7877504</v>
      </c>
      <c r="AN61" s="492">
        <f t="shared" ref="AN61:AN63" si="200">Y61</f>
        <v>0</v>
      </c>
      <c r="AO61" s="492">
        <f t="shared" ref="AO61:AQ63" si="201">K61+AA61</f>
        <v>2662596</v>
      </c>
      <c r="AP61" s="492">
        <f t="shared" si="201"/>
        <v>78775</v>
      </c>
      <c r="AQ61" s="578">
        <f t="shared" si="201"/>
        <v>0</v>
      </c>
      <c r="AR61" s="491">
        <f t="shared" ref="AR61:AR63" si="202">N61+AK61</f>
        <v>12.71</v>
      </c>
    </row>
    <row r="62" spans="1:44" s="152" customFormat="1" ht="12.75" customHeight="1" x14ac:dyDescent="0.2">
      <c r="A62" s="154">
        <v>18</v>
      </c>
      <c r="B62" s="155">
        <v>3413</v>
      </c>
      <c r="C62" s="155">
        <v>600077918</v>
      </c>
      <c r="D62" s="155">
        <v>72743433</v>
      </c>
      <c r="E62" s="156" t="s">
        <v>264</v>
      </c>
      <c r="F62" s="155">
        <v>3111</v>
      </c>
      <c r="G62" s="156" t="s">
        <v>279</v>
      </c>
      <c r="H62" s="157" t="s">
        <v>262</v>
      </c>
      <c r="I62" s="586">
        <f>SUM(J62:L62)</f>
        <v>2142447</v>
      </c>
      <c r="J62" s="323">
        <v>1589352</v>
      </c>
      <c r="K62" s="431">
        <f t="shared" si="191"/>
        <v>537201</v>
      </c>
      <c r="L62" s="431">
        <f t="shared" si="192"/>
        <v>15894</v>
      </c>
      <c r="M62" s="431">
        <v>0</v>
      </c>
      <c r="N62" s="784">
        <v>4</v>
      </c>
      <c r="O62" s="440">
        <f>V62*-1</f>
        <v>0</v>
      </c>
      <c r="P62" s="325">
        <v>0</v>
      </c>
      <c r="Q62" s="325">
        <v>0</v>
      </c>
      <c r="R62" s="325">
        <v>0</v>
      </c>
      <c r="S62" s="325">
        <v>0</v>
      </c>
      <c r="T62" s="325">
        <v>0</v>
      </c>
      <c r="U62" s="492">
        <f t="shared" si="193"/>
        <v>0</v>
      </c>
      <c r="V62" s="325">
        <v>0</v>
      </c>
      <c r="W62" s="325">
        <v>0</v>
      </c>
      <c r="X62" s="325">
        <v>0</v>
      </c>
      <c r="Y62" s="492">
        <f t="shared" si="194"/>
        <v>0</v>
      </c>
      <c r="Z62" s="492">
        <f t="shared" si="195"/>
        <v>0</v>
      </c>
      <c r="AA62" s="494">
        <f t="shared" si="196"/>
        <v>0</v>
      </c>
      <c r="AB62" s="494">
        <f t="shared" si="197"/>
        <v>0</v>
      </c>
      <c r="AC62" s="492">
        <v>0</v>
      </c>
      <c r="AD62" s="789">
        <f t="shared" si="198"/>
        <v>0</v>
      </c>
      <c r="AE62" s="715">
        <v>0</v>
      </c>
      <c r="AF62" s="326">
        <v>0</v>
      </c>
      <c r="AG62" s="326">
        <v>0</v>
      </c>
      <c r="AH62" s="326">
        <v>0</v>
      </c>
      <c r="AI62" s="326">
        <v>0</v>
      </c>
      <c r="AJ62" s="326">
        <v>0</v>
      </c>
      <c r="AK62" s="626">
        <f t="shared" si="199"/>
        <v>0</v>
      </c>
      <c r="AL62" s="493">
        <f>I62+AD62</f>
        <v>2142447</v>
      </c>
      <c r="AM62" s="492">
        <f>J62+U62</f>
        <v>1589352</v>
      </c>
      <c r="AN62" s="492">
        <f t="shared" si="200"/>
        <v>0</v>
      </c>
      <c r="AO62" s="492">
        <f t="shared" si="201"/>
        <v>537201</v>
      </c>
      <c r="AP62" s="492">
        <f t="shared" si="201"/>
        <v>15894</v>
      </c>
      <c r="AQ62" s="578">
        <f t="shared" si="201"/>
        <v>0</v>
      </c>
      <c r="AR62" s="491">
        <f t="shared" si="202"/>
        <v>4</v>
      </c>
    </row>
    <row r="63" spans="1:44" s="152" customFormat="1" x14ac:dyDescent="0.2">
      <c r="A63" s="154">
        <v>18</v>
      </c>
      <c r="B63" s="155">
        <v>3413</v>
      </c>
      <c r="C63" s="155">
        <v>600077918</v>
      </c>
      <c r="D63" s="155">
        <v>72743433</v>
      </c>
      <c r="E63" s="156" t="s">
        <v>264</v>
      </c>
      <c r="F63" s="155">
        <v>3111</v>
      </c>
      <c r="G63" s="156" t="s">
        <v>278</v>
      </c>
      <c r="H63" s="157" t="s">
        <v>263</v>
      </c>
      <c r="I63" s="586">
        <f>SUM(J63:L63)</f>
        <v>0</v>
      </c>
      <c r="J63" s="323"/>
      <c r="K63" s="431">
        <f t="shared" si="191"/>
        <v>0</v>
      </c>
      <c r="L63" s="431">
        <f t="shared" si="192"/>
        <v>0</v>
      </c>
      <c r="M63" s="431">
        <v>0</v>
      </c>
      <c r="N63" s="784">
        <v>0</v>
      </c>
      <c r="O63" s="440">
        <f>V63*-1</f>
        <v>0</v>
      </c>
      <c r="P63" s="325">
        <v>396847</v>
      </c>
      <c r="Q63" s="325">
        <v>0</v>
      </c>
      <c r="R63" s="325">
        <v>0</v>
      </c>
      <c r="S63" s="325">
        <v>0</v>
      </c>
      <c r="T63" s="325">
        <v>0</v>
      </c>
      <c r="U63" s="492">
        <f t="shared" si="193"/>
        <v>396847</v>
      </c>
      <c r="V63" s="325">
        <v>0</v>
      </c>
      <c r="W63" s="325">
        <v>0</v>
      </c>
      <c r="X63" s="325">
        <v>0</v>
      </c>
      <c r="Y63" s="492">
        <f t="shared" si="194"/>
        <v>0</v>
      </c>
      <c r="Z63" s="492">
        <f t="shared" si="195"/>
        <v>396847</v>
      </c>
      <c r="AA63" s="494">
        <f t="shared" si="196"/>
        <v>134134</v>
      </c>
      <c r="AB63" s="494">
        <f t="shared" si="197"/>
        <v>3968</v>
      </c>
      <c r="AC63" s="492">
        <v>0</v>
      </c>
      <c r="AD63" s="789">
        <f t="shared" si="198"/>
        <v>534949</v>
      </c>
      <c r="AE63" s="715">
        <v>0</v>
      </c>
      <c r="AF63" s="326">
        <v>1</v>
      </c>
      <c r="AG63" s="326">
        <v>0</v>
      </c>
      <c r="AH63" s="326">
        <v>0</v>
      </c>
      <c r="AI63" s="326">
        <v>0</v>
      </c>
      <c r="AJ63" s="326">
        <v>0</v>
      </c>
      <c r="AK63" s="626">
        <f t="shared" si="199"/>
        <v>1</v>
      </c>
      <c r="AL63" s="493">
        <f>I63+AD63</f>
        <v>534949</v>
      </c>
      <c r="AM63" s="492">
        <f>J63+U63</f>
        <v>396847</v>
      </c>
      <c r="AN63" s="492">
        <f t="shared" si="200"/>
        <v>0</v>
      </c>
      <c r="AO63" s="492">
        <f t="shared" si="201"/>
        <v>134134</v>
      </c>
      <c r="AP63" s="492">
        <f t="shared" si="201"/>
        <v>3968</v>
      </c>
      <c r="AQ63" s="578">
        <f t="shared" si="201"/>
        <v>0</v>
      </c>
      <c r="AR63" s="491">
        <f t="shared" si="202"/>
        <v>1</v>
      </c>
    </row>
    <row r="64" spans="1:44" s="152" customFormat="1" ht="12.75" customHeight="1" x14ac:dyDescent="0.2">
      <c r="A64" s="105">
        <v>18</v>
      </c>
      <c r="B64" s="12">
        <v>3413</v>
      </c>
      <c r="C64" s="104">
        <v>600077918</v>
      </c>
      <c r="D64" s="104">
        <v>72743433</v>
      </c>
      <c r="E64" s="153" t="s">
        <v>41</v>
      </c>
      <c r="F64" s="12"/>
      <c r="G64" s="153"/>
      <c r="H64" s="407"/>
      <c r="I64" s="782">
        <f t="shared" ref="I64:AR64" si="203">SUM(I61:I63)</f>
        <v>12761322</v>
      </c>
      <c r="J64" s="378">
        <f t="shared" si="203"/>
        <v>9466856</v>
      </c>
      <c r="K64" s="378">
        <f t="shared" si="203"/>
        <v>3199797</v>
      </c>
      <c r="L64" s="378">
        <f t="shared" si="203"/>
        <v>94669</v>
      </c>
      <c r="M64" s="378">
        <f t="shared" si="203"/>
        <v>0</v>
      </c>
      <c r="N64" s="340">
        <f t="shared" si="203"/>
        <v>16.71</v>
      </c>
      <c r="O64" s="444">
        <f t="shared" si="203"/>
        <v>0</v>
      </c>
      <c r="P64" s="378">
        <f t="shared" si="203"/>
        <v>396847</v>
      </c>
      <c r="Q64" s="378">
        <f t="shared" si="203"/>
        <v>0</v>
      </c>
      <c r="R64" s="378">
        <f t="shared" si="203"/>
        <v>0</v>
      </c>
      <c r="S64" s="378">
        <f t="shared" si="203"/>
        <v>0</v>
      </c>
      <c r="T64" s="378">
        <f t="shared" si="203"/>
        <v>0</v>
      </c>
      <c r="U64" s="378">
        <f t="shared" si="203"/>
        <v>396847</v>
      </c>
      <c r="V64" s="378">
        <f t="shared" si="203"/>
        <v>0</v>
      </c>
      <c r="W64" s="378">
        <f t="shared" si="203"/>
        <v>0</v>
      </c>
      <c r="X64" s="378">
        <f t="shared" si="203"/>
        <v>0</v>
      </c>
      <c r="Y64" s="378">
        <f t="shared" si="203"/>
        <v>0</v>
      </c>
      <c r="Z64" s="378">
        <f t="shared" si="203"/>
        <v>396847</v>
      </c>
      <c r="AA64" s="378">
        <f t="shared" si="203"/>
        <v>134134</v>
      </c>
      <c r="AB64" s="378">
        <f t="shared" si="203"/>
        <v>3968</v>
      </c>
      <c r="AC64" s="378">
        <f t="shared" si="203"/>
        <v>0</v>
      </c>
      <c r="AD64" s="788">
        <f t="shared" si="203"/>
        <v>534949</v>
      </c>
      <c r="AE64" s="790">
        <f t="shared" si="203"/>
        <v>0</v>
      </c>
      <c r="AF64" s="398">
        <f t="shared" si="203"/>
        <v>1</v>
      </c>
      <c r="AG64" s="398">
        <f t="shared" si="203"/>
        <v>0</v>
      </c>
      <c r="AH64" s="398">
        <f t="shared" si="203"/>
        <v>0</v>
      </c>
      <c r="AI64" s="398">
        <f t="shared" si="203"/>
        <v>0</v>
      </c>
      <c r="AJ64" s="398">
        <f t="shared" si="203"/>
        <v>0</v>
      </c>
      <c r="AK64" s="340">
        <f t="shared" si="203"/>
        <v>1</v>
      </c>
      <c r="AL64" s="444">
        <f t="shared" si="203"/>
        <v>13296271</v>
      </c>
      <c r="AM64" s="378">
        <f t="shared" si="203"/>
        <v>9863703</v>
      </c>
      <c r="AN64" s="378">
        <f t="shared" si="203"/>
        <v>0</v>
      </c>
      <c r="AO64" s="378">
        <f t="shared" si="203"/>
        <v>3333931</v>
      </c>
      <c r="AP64" s="378">
        <f t="shared" si="203"/>
        <v>98637</v>
      </c>
      <c r="AQ64" s="378">
        <f t="shared" si="203"/>
        <v>0</v>
      </c>
      <c r="AR64" s="398">
        <f t="shared" si="203"/>
        <v>17.71</v>
      </c>
    </row>
    <row r="65" spans="1:44" s="152" customFormat="1" ht="12.75" customHeight="1" x14ac:dyDescent="0.2">
      <c r="A65" s="154">
        <v>19</v>
      </c>
      <c r="B65" s="155">
        <v>3478</v>
      </c>
      <c r="C65" s="155">
        <v>691019657</v>
      </c>
      <c r="D65" s="155">
        <v>22296816</v>
      </c>
      <c r="E65" s="156" t="s">
        <v>786</v>
      </c>
      <c r="F65" s="155">
        <v>3111</v>
      </c>
      <c r="G65" s="156" t="s">
        <v>277</v>
      </c>
      <c r="H65" s="157" t="s">
        <v>262</v>
      </c>
      <c r="I65" s="627">
        <f>SUM(J65:L65)</f>
        <v>1663712</v>
      </c>
      <c r="J65" s="410">
        <v>1234208</v>
      </c>
      <c r="K65" s="431">
        <f>ROUND(J65*33.8%,0)</f>
        <v>417162</v>
      </c>
      <c r="L65" s="431">
        <f>ROUND(J65*1%,0)</f>
        <v>12342</v>
      </c>
      <c r="M65" s="431">
        <v>0</v>
      </c>
      <c r="N65" s="783">
        <v>2.21</v>
      </c>
      <c r="O65" s="445">
        <f>V65*-1</f>
        <v>0</v>
      </c>
      <c r="P65" s="325">
        <v>0</v>
      </c>
      <c r="Q65" s="325">
        <v>0</v>
      </c>
      <c r="R65" s="325">
        <v>0</v>
      </c>
      <c r="S65" s="325">
        <v>0</v>
      </c>
      <c r="T65" s="325">
        <v>0</v>
      </c>
      <c r="U65" s="492">
        <f>O65+P65+Q65+R65+S65+T65</f>
        <v>0</v>
      </c>
      <c r="V65" s="325">
        <v>0</v>
      </c>
      <c r="W65" s="325">
        <v>0</v>
      </c>
      <c r="X65" s="325">
        <v>0</v>
      </c>
      <c r="Y65" s="492">
        <f>V65+W65+X65</f>
        <v>0</v>
      </c>
      <c r="Z65" s="492">
        <f>U65+Y65</f>
        <v>0</v>
      </c>
      <c r="AA65" s="494">
        <f>ROUND((U65+Y65)*33.8%,0)</f>
        <v>0</v>
      </c>
      <c r="AB65" s="494">
        <f>ROUND(U65*1%,0)</f>
        <v>0</v>
      </c>
      <c r="AC65" s="492">
        <v>0</v>
      </c>
      <c r="AD65" s="789">
        <f>Z65+AA65+AB65+AC65</f>
        <v>0</v>
      </c>
      <c r="AE65" s="715">
        <v>0</v>
      </c>
      <c r="AF65" s="326">
        <v>0</v>
      </c>
      <c r="AG65" s="326">
        <v>0</v>
      </c>
      <c r="AH65" s="326">
        <v>0</v>
      </c>
      <c r="AI65" s="326">
        <v>0</v>
      </c>
      <c r="AJ65" s="326">
        <v>0</v>
      </c>
      <c r="AK65" s="626">
        <f>SUM(AE65:AJ65)</f>
        <v>0</v>
      </c>
      <c r="AL65" s="493">
        <f>I65+AD65</f>
        <v>1663712</v>
      </c>
      <c r="AM65" s="492">
        <f>J65+U65</f>
        <v>1234208</v>
      </c>
      <c r="AN65" s="492">
        <f>Y65</f>
        <v>0</v>
      </c>
      <c r="AO65" s="492">
        <f>K65+AA65</f>
        <v>417162</v>
      </c>
      <c r="AP65" s="492">
        <f>L65+AB65</f>
        <v>12342</v>
      </c>
      <c r="AQ65" s="578">
        <f>M65+AC65</f>
        <v>0</v>
      </c>
      <c r="AR65" s="491">
        <f>N65+AK65</f>
        <v>2.21</v>
      </c>
    </row>
    <row r="66" spans="1:44" s="152" customFormat="1" ht="12.75" customHeight="1" x14ac:dyDescent="0.2">
      <c r="A66" s="108">
        <v>19</v>
      </c>
      <c r="B66" s="109">
        <v>3478</v>
      </c>
      <c r="C66" s="110">
        <v>691019657</v>
      </c>
      <c r="D66" s="110">
        <v>22296816</v>
      </c>
      <c r="E66" s="158" t="s">
        <v>787</v>
      </c>
      <c r="F66" s="109"/>
      <c r="G66" s="158"/>
      <c r="H66" s="408"/>
      <c r="I66" s="782">
        <f t="shared" ref="I66:AR66" si="204">SUM(I65:I65)</f>
        <v>1663712</v>
      </c>
      <c r="J66" s="378">
        <f t="shared" si="204"/>
        <v>1234208</v>
      </c>
      <c r="K66" s="378">
        <f t="shared" si="204"/>
        <v>417162</v>
      </c>
      <c r="L66" s="378">
        <f t="shared" si="204"/>
        <v>12342</v>
      </c>
      <c r="M66" s="378">
        <f t="shared" si="204"/>
        <v>0</v>
      </c>
      <c r="N66" s="340">
        <f t="shared" si="204"/>
        <v>2.21</v>
      </c>
      <c r="O66" s="444">
        <f t="shared" si="204"/>
        <v>0</v>
      </c>
      <c r="P66" s="378">
        <f t="shared" si="204"/>
        <v>0</v>
      </c>
      <c r="Q66" s="378">
        <f t="shared" si="204"/>
        <v>0</v>
      </c>
      <c r="R66" s="378">
        <f t="shared" si="204"/>
        <v>0</v>
      </c>
      <c r="S66" s="378">
        <f t="shared" si="204"/>
        <v>0</v>
      </c>
      <c r="T66" s="378">
        <f t="shared" si="204"/>
        <v>0</v>
      </c>
      <c r="U66" s="378">
        <f t="shared" si="204"/>
        <v>0</v>
      </c>
      <c r="V66" s="378">
        <f t="shared" si="204"/>
        <v>0</v>
      </c>
      <c r="W66" s="378">
        <f t="shared" si="204"/>
        <v>0</v>
      </c>
      <c r="X66" s="378">
        <f t="shared" si="204"/>
        <v>0</v>
      </c>
      <c r="Y66" s="378">
        <f t="shared" si="204"/>
        <v>0</v>
      </c>
      <c r="Z66" s="378">
        <f t="shared" si="204"/>
        <v>0</v>
      </c>
      <c r="AA66" s="378">
        <f t="shared" si="204"/>
        <v>0</v>
      </c>
      <c r="AB66" s="378">
        <f t="shared" si="204"/>
        <v>0</v>
      </c>
      <c r="AC66" s="378">
        <f t="shared" si="204"/>
        <v>0</v>
      </c>
      <c r="AD66" s="788">
        <f t="shared" si="204"/>
        <v>0</v>
      </c>
      <c r="AE66" s="790">
        <f t="shared" si="204"/>
        <v>0</v>
      </c>
      <c r="AF66" s="398">
        <f t="shared" si="204"/>
        <v>0</v>
      </c>
      <c r="AG66" s="398">
        <f t="shared" si="204"/>
        <v>0</v>
      </c>
      <c r="AH66" s="398">
        <f t="shared" si="204"/>
        <v>0</v>
      </c>
      <c r="AI66" s="398">
        <f t="shared" si="204"/>
        <v>0</v>
      </c>
      <c r="AJ66" s="398">
        <f t="shared" si="204"/>
        <v>0</v>
      </c>
      <c r="AK66" s="340">
        <f t="shared" si="204"/>
        <v>0</v>
      </c>
      <c r="AL66" s="446">
        <f t="shared" si="204"/>
        <v>1663712</v>
      </c>
      <c r="AM66" s="414">
        <f t="shared" si="204"/>
        <v>1234208</v>
      </c>
      <c r="AN66" s="414">
        <f t="shared" si="204"/>
        <v>0</v>
      </c>
      <c r="AO66" s="414">
        <f t="shared" si="204"/>
        <v>417162</v>
      </c>
      <c r="AP66" s="414">
        <f t="shared" si="204"/>
        <v>12342</v>
      </c>
      <c r="AQ66" s="414">
        <f t="shared" si="204"/>
        <v>0</v>
      </c>
      <c r="AR66" s="415">
        <f t="shared" si="204"/>
        <v>2.21</v>
      </c>
    </row>
    <row r="67" spans="1:44" s="152" customFormat="1" ht="12.75" customHeight="1" x14ac:dyDescent="0.2">
      <c r="A67" s="154">
        <v>20</v>
      </c>
      <c r="B67" s="155">
        <v>3409</v>
      </c>
      <c r="C67" s="155">
        <v>600078396</v>
      </c>
      <c r="D67" s="155">
        <v>43257399</v>
      </c>
      <c r="E67" s="156" t="s">
        <v>42</v>
      </c>
      <c r="F67" s="155">
        <v>3113</v>
      </c>
      <c r="G67" s="156" t="s">
        <v>280</v>
      </c>
      <c r="H67" s="157" t="s">
        <v>262</v>
      </c>
      <c r="I67" s="627">
        <f>SUM(J67:L67)</f>
        <v>25714079</v>
      </c>
      <c r="J67" s="410">
        <v>19075726</v>
      </c>
      <c r="K67" s="431">
        <f>ROUND(J67*33.8%,0)+1</f>
        <v>6447596</v>
      </c>
      <c r="L67" s="431">
        <f t="shared" ref="L67:L70" si="205">ROUND(J67*1%,0)</f>
        <v>190757</v>
      </c>
      <c r="M67" s="431">
        <v>0</v>
      </c>
      <c r="N67" s="783">
        <v>27.82</v>
      </c>
      <c r="O67" s="445">
        <f>V67*-1</f>
        <v>0</v>
      </c>
      <c r="P67" s="325">
        <v>0</v>
      </c>
      <c r="Q67" s="325">
        <v>72975</v>
      </c>
      <c r="R67" s="325">
        <v>0</v>
      </c>
      <c r="S67" s="325">
        <v>0</v>
      </c>
      <c r="T67" s="325">
        <v>0</v>
      </c>
      <c r="U67" s="492">
        <f t="shared" ref="U67:U70" si="206">O67+P67+Q67+R67+S67+T67</f>
        <v>72975</v>
      </c>
      <c r="V67" s="325">
        <v>0</v>
      </c>
      <c r="W67" s="325">
        <v>0</v>
      </c>
      <c r="X67" s="325">
        <v>0</v>
      </c>
      <c r="Y67" s="492">
        <f t="shared" ref="Y67:Y70" si="207">V67+W67+X67</f>
        <v>0</v>
      </c>
      <c r="Z67" s="492">
        <f t="shared" ref="Z67:Z70" si="208">U67+Y67</f>
        <v>72975</v>
      </c>
      <c r="AA67" s="494">
        <f t="shared" ref="AA67:AA70" si="209">ROUND((U67+Y67)*33.8%,0)</f>
        <v>24666</v>
      </c>
      <c r="AB67" s="494">
        <f t="shared" ref="AB67:AB70" si="210">ROUND(U67*1%,0)</f>
        <v>730</v>
      </c>
      <c r="AC67" s="492">
        <v>0</v>
      </c>
      <c r="AD67" s="789">
        <f t="shared" ref="AD67:AD70" si="211">Z67+AA67+AB67+AC67</f>
        <v>98371</v>
      </c>
      <c r="AE67" s="715">
        <v>0</v>
      </c>
      <c r="AF67" s="326">
        <v>0</v>
      </c>
      <c r="AG67" s="326">
        <v>0</v>
      </c>
      <c r="AH67" s="326">
        <v>0.1</v>
      </c>
      <c r="AI67" s="326">
        <v>0</v>
      </c>
      <c r="AJ67" s="326">
        <v>0</v>
      </c>
      <c r="AK67" s="626">
        <f t="shared" ref="AK67:AK70" si="212">SUM(AE67:AJ67)</f>
        <v>0.1</v>
      </c>
      <c r="AL67" s="493">
        <f>I67+AD67</f>
        <v>25812450</v>
      </c>
      <c r="AM67" s="492">
        <f>J67+U67</f>
        <v>19148701</v>
      </c>
      <c r="AN67" s="492">
        <f t="shared" ref="AN67:AN70" si="213">Y67</f>
        <v>0</v>
      </c>
      <c r="AO67" s="492">
        <f t="shared" ref="AO67:AQ70" si="214">K67+AA67</f>
        <v>6472262</v>
      </c>
      <c r="AP67" s="492">
        <f t="shared" si="214"/>
        <v>191487</v>
      </c>
      <c r="AQ67" s="578">
        <f t="shared" si="214"/>
        <v>0</v>
      </c>
      <c r="AR67" s="491">
        <f t="shared" ref="AR67:AR70" si="215">N67+AK67</f>
        <v>27.92</v>
      </c>
    </row>
    <row r="68" spans="1:44" s="152" customFormat="1" ht="12.75" customHeight="1" x14ac:dyDescent="0.2">
      <c r="A68" s="154">
        <v>20</v>
      </c>
      <c r="B68" s="155">
        <v>3409</v>
      </c>
      <c r="C68" s="155">
        <v>600078396</v>
      </c>
      <c r="D68" s="155">
        <v>43257399</v>
      </c>
      <c r="E68" s="156" t="s">
        <v>42</v>
      </c>
      <c r="F68" s="155">
        <v>3113</v>
      </c>
      <c r="G68" s="156" t="s">
        <v>799</v>
      </c>
      <c r="H68" s="157" t="s">
        <v>262</v>
      </c>
      <c r="I68" s="627">
        <f>SUM(J68:L68)</f>
        <v>0</v>
      </c>
      <c r="J68" s="410">
        <v>0</v>
      </c>
      <c r="K68" s="431">
        <v>0</v>
      </c>
      <c r="L68" s="431">
        <f t="shared" si="205"/>
        <v>0</v>
      </c>
      <c r="M68" s="431">
        <v>0</v>
      </c>
      <c r="N68" s="783">
        <v>0</v>
      </c>
      <c r="O68" s="445">
        <f>V68*-1</f>
        <v>0</v>
      </c>
      <c r="P68" s="325">
        <v>0</v>
      </c>
      <c r="Q68" s="325">
        <v>0</v>
      </c>
      <c r="R68" s="325">
        <v>435160</v>
      </c>
      <c r="S68" s="325">
        <v>0</v>
      </c>
      <c r="T68" s="325">
        <v>0</v>
      </c>
      <c r="U68" s="492">
        <f t="shared" si="206"/>
        <v>435160</v>
      </c>
      <c r="V68" s="325">
        <v>0</v>
      </c>
      <c r="W68" s="325">
        <v>0</v>
      </c>
      <c r="X68" s="325">
        <v>0</v>
      </c>
      <c r="Y68" s="492">
        <f t="shared" si="207"/>
        <v>0</v>
      </c>
      <c r="Z68" s="492">
        <f t="shared" si="208"/>
        <v>435160</v>
      </c>
      <c r="AA68" s="494">
        <f t="shared" si="209"/>
        <v>147084</v>
      </c>
      <c r="AB68" s="494">
        <f t="shared" si="210"/>
        <v>4352</v>
      </c>
      <c r="AC68" s="492">
        <v>0</v>
      </c>
      <c r="AD68" s="789">
        <f t="shared" si="211"/>
        <v>586596</v>
      </c>
      <c r="AE68" s="715">
        <v>0</v>
      </c>
      <c r="AF68" s="326">
        <v>0</v>
      </c>
      <c r="AG68" s="326">
        <v>0.79</v>
      </c>
      <c r="AH68" s="326">
        <v>0</v>
      </c>
      <c r="AI68" s="326">
        <v>0</v>
      </c>
      <c r="AJ68" s="326">
        <v>0</v>
      </c>
      <c r="AK68" s="626">
        <f t="shared" si="212"/>
        <v>0.79</v>
      </c>
      <c r="AL68" s="493">
        <f>I68+AD68</f>
        <v>586596</v>
      </c>
      <c r="AM68" s="492">
        <f>J68+U68</f>
        <v>435160</v>
      </c>
      <c r="AN68" s="492">
        <f t="shared" si="213"/>
        <v>0</v>
      </c>
      <c r="AO68" s="492">
        <f t="shared" si="214"/>
        <v>147084</v>
      </c>
      <c r="AP68" s="492">
        <f t="shared" si="214"/>
        <v>4352</v>
      </c>
      <c r="AQ68" s="578">
        <f t="shared" si="214"/>
        <v>0</v>
      </c>
      <c r="AR68" s="491">
        <f t="shared" si="215"/>
        <v>0.79</v>
      </c>
    </row>
    <row r="69" spans="1:44" s="152" customFormat="1" x14ac:dyDescent="0.2">
      <c r="A69" s="154">
        <v>20</v>
      </c>
      <c r="B69" s="155">
        <v>3409</v>
      </c>
      <c r="C69" s="155">
        <v>600078396</v>
      </c>
      <c r="D69" s="155">
        <v>43257399</v>
      </c>
      <c r="E69" s="156" t="s">
        <v>42</v>
      </c>
      <c r="F69" s="155">
        <v>3113</v>
      </c>
      <c r="G69" s="156" t="s">
        <v>278</v>
      </c>
      <c r="H69" s="157" t="s">
        <v>263</v>
      </c>
      <c r="I69" s="586">
        <f>SUM(J69:L69)</f>
        <v>0</v>
      </c>
      <c r="J69" s="323"/>
      <c r="K69" s="431">
        <f t="shared" ref="K69:K70" si="216">ROUND(J69*33.8%,0)</f>
        <v>0</v>
      </c>
      <c r="L69" s="431">
        <f t="shared" si="205"/>
        <v>0</v>
      </c>
      <c r="M69" s="431">
        <v>0</v>
      </c>
      <c r="N69" s="784">
        <v>0</v>
      </c>
      <c r="O69" s="440">
        <f>V69*-1</f>
        <v>0</v>
      </c>
      <c r="P69" s="325">
        <f>4883956+141473</f>
        <v>5025429</v>
      </c>
      <c r="Q69" s="325">
        <v>0</v>
      </c>
      <c r="R69" s="325">
        <v>0</v>
      </c>
      <c r="S69" s="325">
        <v>0</v>
      </c>
      <c r="T69" s="325">
        <v>0</v>
      </c>
      <c r="U69" s="492">
        <f t="shared" si="206"/>
        <v>5025429</v>
      </c>
      <c r="V69" s="325">
        <v>0</v>
      </c>
      <c r="W69" s="325">
        <v>0</v>
      </c>
      <c r="X69" s="325">
        <v>0</v>
      </c>
      <c r="Y69" s="492">
        <f t="shared" si="207"/>
        <v>0</v>
      </c>
      <c r="Z69" s="492">
        <f t="shared" si="208"/>
        <v>5025429</v>
      </c>
      <c r="AA69" s="494">
        <f t="shared" si="209"/>
        <v>1698595</v>
      </c>
      <c r="AB69" s="494">
        <f t="shared" si="210"/>
        <v>50254</v>
      </c>
      <c r="AC69" s="492">
        <v>0</v>
      </c>
      <c r="AD69" s="789">
        <f t="shared" si="211"/>
        <v>6774278</v>
      </c>
      <c r="AE69" s="715">
        <v>0</v>
      </c>
      <c r="AF69" s="326">
        <f>12.06+0.36</f>
        <v>12.42</v>
      </c>
      <c r="AG69" s="326">
        <v>0</v>
      </c>
      <c r="AH69" s="326">
        <v>0</v>
      </c>
      <c r="AI69" s="326">
        <v>0</v>
      </c>
      <c r="AJ69" s="326">
        <v>0</v>
      </c>
      <c r="AK69" s="626">
        <f t="shared" si="212"/>
        <v>12.42</v>
      </c>
      <c r="AL69" s="493">
        <f>I69+AD69</f>
        <v>6774278</v>
      </c>
      <c r="AM69" s="492">
        <f>J69+U69</f>
        <v>5025429</v>
      </c>
      <c r="AN69" s="492">
        <f t="shared" si="213"/>
        <v>0</v>
      </c>
      <c r="AO69" s="492">
        <f t="shared" si="214"/>
        <v>1698595</v>
      </c>
      <c r="AP69" s="492">
        <f t="shared" si="214"/>
        <v>50254</v>
      </c>
      <c r="AQ69" s="578">
        <f t="shared" si="214"/>
        <v>0</v>
      </c>
      <c r="AR69" s="491">
        <f t="shared" si="215"/>
        <v>12.42</v>
      </c>
    </row>
    <row r="70" spans="1:44" s="152" customFormat="1" ht="12.75" customHeight="1" x14ac:dyDescent="0.2">
      <c r="A70" s="154">
        <v>20</v>
      </c>
      <c r="B70" s="155">
        <v>3409</v>
      </c>
      <c r="C70" s="155">
        <v>600078396</v>
      </c>
      <c r="D70" s="155">
        <v>43257399</v>
      </c>
      <c r="E70" s="156" t="s">
        <v>42</v>
      </c>
      <c r="F70" s="155">
        <v>3143</v>
      </c>
      <c r="G70" s="156" t="s">
        <v>794</v>
      </c>
      <c r="H70" s="157" t="s">
        <v>262</v>
      </c>
      <c r="I70" s="586">
        <f>SUM(J70:L70)</f>
        <v>3779649</v>
      </c>
      <c r="J70" s="323">
        <v>2803894</v>
      </c>
      <c r="K70" s="431">
        <f t="shared" si="216"/>
        <v>947716</v>
      </c>
      <c r="L70" s="431">
        <f t="shared" si="205"/>
        <v>28039</v>
      </c>
      <c r="M70" s="431">
        <v>0</v>
      </c>
      <c r="N70" s="784">
        <v>5.5</v>
      </c>
      <c r="O70" s="440">
        <f>V70*-1</f>
        <v>0</v>
      </c>
      <c r="P70" s="325">
        <v>0</v>
      </c>
      <c r="Q70" s="325">
        <v>0</v>
      </c>
      <c r="R70" s="325">
        <v>0</v>
      </c>
      <c r="S70" s="325">
        <v>0</v>
      </c>
      <c r="T70" s="325">
        <v>0</v>
      </c>
      <c r="U70" s="492">
        <f t="shared" si="206"/>
        <v>0</v>
      </c>
      <c r="V70" s="325">
        <v>0</v>
      </c>
      <c r="W70" s="325">
        <v>0</v>
      </c>
      <c r="X70" s="325">
        <v>0</v>
      </c>
      <c r="Y70" s="492">
        <f t="shared" si="207"/>
        <v>0</v>
      </c>
      <c r="Z70" s="492">
        <f t="shared" si="208"/>
        <v>0</v>
      </c>
      <c r="AA70" s="494">
        <f t="shared" si="209"/>
        <v>0</v>
      </c>
      <c r="AB70" s="494">
        <f t="shared" si="210"/>
        <v>0</v>
      </c>
      <c r="AC70" s="492">
        <v>0</v>
      </c>
      <c r="AD70" s="789">
        <f t="shared" si="211"/>
        <v>0</v>
      </c>
      <c r="AE70" s="715">
        <v>0</v>
      </c>
      <c r="AF70" s="326">
        <v>0</v>
      </c>
      <c r="AG70" s="326">
        <v>0</v>
      </c>
      <c r="AH70" s="326">
        <v>0</v>
      </c>
      <c r="AI70" s="326">
        <v>0</v>
      </c>
      <c r="AJ70" s="326">
        <v>0</v>
      </c>
      <c r="AK70" s="626">
        <f t="shared" si="212"/>
        <v>0</v>
      </c>
      <c r="AL70" s="493">
        <f>I70+AD70</f>
        <v>3779649</v>
      </c>
      <c r="AM70" s="492">
        <f>J70+U70</f>
        <v>2803894</v>
      </c>
      <c r="AN70" s="492">
        <f t="shared" si="213"/>
        <v>0</v>
      </c>
      <c r="AO70" s="492">
        <f t="shared" si="214"/>
        <v>947716</v>
      </c>
      <c r="AP70" s="492">
        <f t="shared" si="214"/>
        <v>28039</v>
      </c>
      <c r="AQ70" s="578">
        <f t="shared" si="214"/>
        <v>0</v>
      </c>
      <c r="AR70" s="491">
        <f t="shared" si="215"/>
        <v>5.5</v>
      </c>
    </row>
    <row r="71" spans="1:44" s="152" customFormat="1" ht="12.75" customHeight="1" x14ac:dyDescent="0.2">
      <c r="A71" s="105">
        <v>20</v>
      </c>
      <c r="B71" s="12">
        <v>3409</v>
      </c>
      <c r="C71" s="104">
        <v>600078396</v>
      </c>
      <c r="D71" s="104">
        <v>43257399</v>
      </c>
      <c r="E71" s="153" t="s">
        <v>43</v>
      </c>
      <c r="F71" s="12"/>
      <c r="G71" s="153"/>
      <c r="H71" s="407"/>
      <c r="I71" s="782">
        <f t="shared" ref="I71:AR71" si="217">SUM(I67:I70)</f>
        <v>29493728</v>
      </c>
      <c r="J71" s="378">
        <f t="shared" si="217"/>
        <v>21879620</v>
      </c>
      <c r="K71" s="378">
        <f t="shared" si="217"/>
        <v>7395312</v>
      </c>
      <c r="L71" s="378">
        <f t="shared" si="217"/>
        <v>218796</v>
      </c>
      <c r="M71" s="378">
        <f t="shared" si="217"/>
        <v>0</v>
      </c>
      <c r="N71" s="340">
        <f t="shared" si="217"/>
        <v>33.32</v>
      </c>
      <c r="O71" s="444">
        <f t="shared" si="217"/>
        <v>0</v>
      </c>
      <c r="P71" s="378">
        <f t="shared" si="217"/>
        <v>5025429</v>
      </c>
      <c r="Q71" s="378">
        <f t="shared" si="217"/>
        <v>72975</v>
      </c>
      <c r="R71" s="378">
        <f t="shared" si="217"/>
        <v>435160</v>
      </c>
      <c r="S71" s="378">
        <f t="shared" si="217"/>
        <v>0</v>
      </c>
      <c r="T71" s="378">
        <f t="shared" si="217"/>
        <v>0</v>
      </c>
      <c r="U71" s="378">
        <f t="shared" si="217"/>
        <v>5533564</v>
      </c>
      <c r="V71" s="378">
        <f t="shared" si="217"/>
        <v>0</v>
      </c>
      <c r="W71" s="378">
        <f t="shared" si="217"/>
        <v>0</v>
      </c>
      <c r="X71" s="378">
        <f t="shared" si="217"/>
        <v>0</v>
      </c>
      <c r="Y71" s="378">
        <f t="shared" si="217"/>
        <v>0</v>
      </c>
      <c r="Z71" s="378">
        <f t="shared" si="217"/>
        <v>5533564</v>
      </c>
      <c r="AA71" s="378">
        <f t="shared" si="217"/>
        <v>1870345</v>
      </c>
      <c r="AB71" s="378">
        <f t="shared" si="217"/>
        <v>55336</v>
      </c>
      <c r="AC71" s="378">
        <f t="shared" si="217"/>
        <v>0</v>
      </c>
      <c r="AD71" s="788">
        <f t="shared" si="217"/>
        <v>7459245</v>
      </c>
      <c r="AE71" s="790">
        <f t="shared" si="217"/>
        <v>0</v>
      </c>
      <c r="AF71" s="398">
        <f t="shared" si="217"/>
        <v>12.42</v>
      </c>
      <c r="AG71" s="398">
        <f t="shared" si="217"/>
        <v>0.79</v>
      </c>
      <c r="AH71" s="398">
        <f t="shared" si="217"/>
        <v>0.1</v>
      </c>
      <c r="AI71" s="398">
        <f t="shared" si="217"/>
        <v>0</v>
      </c>
      <c r="AJ71" s="398">
        <f t="shared" si="217"/>
        <v>0</v>
      </c>
      <c r="AK71" s="340">
        <f t="shared" si="217"/>
        <v>13.31</v>
      </c>
      <c r="AL71" s="444">
        <f t="shared" si="217"/>
        <v>36952973</v>
      </c>
      <c r="AM71" s="378">
        <f t="shared" si="217"/>
        <v>27413184</v>
      </c>
      <c r="AN71" s="378">
        <f t="shared" si="217"/>
        <v>0</v>
      </c>
      <c r="AO71" s="378">
        <f t="shared" si="217"/>
        <v>9265657</v>
      </c>
      <c r="AP71" s="378">
        <f t="shared" si="217"/>
        <v>274132</v>
      </c>
      <c r="AQ71" s="378">
        <f t="shared" si="217"/>
        <v>0</v>
      </c>
      <c r="AR71" s="398">
        <f t="shared" si="217"/>
        <v>46.63</v>
      </c>
    </row>
    <row r="72" spans="1:44" s="152" customFormat="1" ht="12.75" customHeight="1" x14ac:dyDescent="0.2">
      <c r="A72" s="154">
        <v>21</v>
      </c>
      <c r="B72" s="155">
        <v>3415</v>
      </c>
      <c r="C72" s="155">
        <v>600078523</v>
      </c>
      <c r="D72" s="155">
        <v>72743271</v>
      </c>
      <c r="E72" s="156" t="s">
        <v>44</v>
      </c>
      <c r="F72" s="155">
        <v>3113</v>
      </c>
      <c r="G72" s="156" t="s">
        <v>280</v>
      </c>
      <c r="H72" s="157" t="s">
        <v>262</v>
      </c>
      <c r="I72" s="627">
        <f>SUM(J72:L72)</f>
        <v>30606069</v>
      </c>
      <c r="J72" s="410">
        <v>22704798</v>
      </c>
      <c r="K72" s="431">
        <f t="shared" ref="K72:K75" si="218">ROUND(J72*33.8%,0)</f>
        <v>7674222</v>
      </c>
      <c r="L72" s="431">
        <f>ROUND(J72*1%,0)+1</f>
        <v>227049</v>
      </c>
      <c r="M72" s="431">
        <v>0</v>
      </c>
      <c r="N72" s="783">
        <v>28.95</v>
      </c>
      <c r="O72" s="445">
        <f>V72*-1</f>
        <v>0</v>
      </c>
      <c r="P72" s="325">
        <v>0</v>
      </c>
      <c r="Q72" s="325">
        <v>0</v>
      </c>
      <c r="R72" s="325">
        <v>0</v>
      </c>
      <c r="S72" s="325">
        <v>0</v>
      </c>
      <c r="T72" s="325">
        <v>0</v>
      </c>
      <c r="U72" s="492">
        <f t="shared" ref="U72:U75" si="219">O72+P72+Q72+R72+S72+T72</f>
        <v>0</v>
      </c>
      <c r="V72" s="325">
        <v>0</v>
      </c>
      <c r="W72" s="325">
        <v>0</v>
      </c>
      <c r="X72" s="325">
        <v>0</v>
      </c>
      <c r="Y72" s="492">
        <f t="shared" ref="Y72:Y75" si="220">V72+W72+X72</f>
        <v>0</v>
      </c>
      <c r="Z72" s="492">
        <f t="shared" ref="Z72:Z75" si="221">U72+Y72</f>
        <v>0</v>
      </c>
      <c r="AA72" s="494">
        <f t="shared" ref="AA72:AA75" si="222">ROUND((U72+Y72)*33.8%,0)</f>
        <v>0</v>
      </c>
      <c r="AB72" s="494">
        <f t="shared" ref="AB72:AB75" si="223">ROUND(U72*1%,0)</f>
        <v>0</v>
      </c>
      <c r="AC72" s="492">
        <v>0</v>
      </c>
      <c r="AD72" s="789">
        <f t="shared" ref="AD72:AD75" si="224">Z72+AA72+AB72+AC72</f>
        <v>0</v>
      </c>
      <c r="AE72" s="715">
        <v>0</v>
      </c>
      <c r="AF72" s="326">
        <v>0</v>
      </c>
      <c r="AG72" s="326">
        <v>0</v>
      </c>
      <c r="AH72" s="326">
        <v>0</v>
      </c>
      <c r="AI72" s="326">
        <v>0</v>
      </c>
      <c r="AJ72" s="326">
        <v>0</v>
      </c>
      <c r="AK72" s="626">
        <f t="shared" ref="AK72:AK75" si="225">SUM(AE72:AJ72)</f>
        <v>0</v>
      </c>
      <c r="AL72" s="493">
        <f>I72+AD72</f>
        <v>30606069</v>
      </c>
      <c r="AM72" s="492">
        <f>J72+U72</f>
        <v>22704798</v>
      </c>
      <c r="AN72" s="492">
        <f t="shared" ref="AN72:AN75" si="226">Y72</f>
        <v>0</v>
      </c>
      <c r="AO72" s="492">
        <f t="shared" ref="AO72:AQ75" si="227">K72+AA72</f>
        <v>7674222</v>
      </c>
      <c r="AP72" s="492">
        <f t="shared" si="227"/>
        <v>227049</v>
      </c>
      <c r="AQ72" s="578">
        <f t="shared" si="227"/>
        <v>0</v>
      </c>
      <c r="AR72" s="491">
        <f t="shared" ref="AR72:AR75" si="228">N72+AK72</f>
        <v>28.95</v>
      </c>
    </row>
    <row r="73" spans="1:44" s="152" customFormat="1" ht="12.75" customHeight="1" x14ac:dyDescent="0.2">
      <c r="A73" s="154">
        <v>21</v>
      </c>
      <c r="B73" s="155">
        <v>3415</v>
      </c>
      <c r="C73" s="155">
        <v>600078523</v>
      </c>
      <c r="D73" s="155">
        <v>72743271</v>
      </c>
      <c r="E73" s="156" t="s">
        <v>44</v>
      </c>
      <c r="F73" s="155">
        <v>3113</v>
      </c>
      <c r="G73" s="156" t="s">
        <v>799</v>
      </c>
      <c r="H73" s="157" t="s">
        <v>262</v>
      </c>
      <c r="I73" s="627">
        <f>SUM(J73:L73)</f>
        <v>714235</v>
      </c>
      <c r="J73" s="410">
        <v>529848</v>
      </c>
      <c r="K73" s="431">
        <f t="shared" si="218"/>
        <v>179089</v>
      </c>
      <c r="L73" s="431">
        <f t="shared" ref="L73:L75" si="229">ROUND(J73*1%,0)</f>
        <v>5298</v>
      </c>
      <c r="M73" s="431">
        <v>0</v>
      </c>
      <c r="N73" s="783">
        <v>1</v>
      </c>
      <c r="O73" s="445">
        <f>V73*-1</f>
        <v>0</v>
      </c>
      <c r="P73" s="325">
        <v>0</v>
      </c>
      <c r="Q73" s="325">
        <v>0</v>
      </c>
      <c r="R73" s="325">
        <v>0</v>
      </c>
      <c r="S73" s="325">
        <v>0</v>
      </c>
      <c r="T73" s="325">
        <v>0</v>
      </c>
      <c r="U73" s="492">
        <f t="shared" si="219"/>
        <v>0</v>
      </c>
      <c r="V73" s="325">
        <v>0</v>
      </c>
      <c r="W73" s="325">
        <v>0</v>
      </c>
      <c r="X73" s="325">
        <v>0</v>
      </c>
      <c r="Y73" s="492">
        <f t="shared" si="220"/>
        <v>0</v>
      </c>
      <c r="Z73" s="492">
        <f t="shared" si="221"/>
        <v>0</v>
      </c>
      <c r="AA73" s="494">
        <f t="shared" si="222"/>
        <v>0</v>
      </c>
      <c r="AB73" s="494">
        <f t="shared" si="223"/>
        <v>0</v>
      </c>
      <c r="AC73" s="492">
        <v>0</v>
      </c>
      <c r="AD73" s="789">
        <f t="shared" si="224"/>
        <v>0</v>
      </c>
      <c r="AE73" s="715">
        <v>0</v>
      </c>
      <c r="AF73" s="326">
        <v>0</v>
      </c>
      <c r="AG73" s="326">
        <v>0</v>
      </c>
      <c r="AH73" s="326">
        <v>0</v>
      </c>
      <c r="AI73" s="326">
        <v>0</v>
      </c>
      <c r="AJ73" s="326">
        <v>0</v>
      </c>
      <c r="AK73" s="626">
        <f t="shared" si="225"/>
        <v>0</v>
      </c>
      <c r="AL73" s="493">
        <f>I73+AD73</f>
        <v>714235</v>
      </c>
      <c r="AM73" s="492">
        <f>J73+U73</f>
        <v>529848</v>
      </c>
      <c r="AN73" s="492">
        <f t="shared" si="226"/>
        <v>0</v>
      </c>
      <c r="AO73" s="492">
        <f t="shared" si="227"/>
        <v>179089</v>
      </c>
      <c r="AP73" s="492">
        <f t="shared" si="227"/>
        <v>5298</v>
      </c>
      <c r="AQ73" s="578">
        <f t="shared" si="227"/>
        <v>0</v>
      </c>
      <c r="AR73" s="491">
        <f t="shared" si="228"/>
        <v>1</v>
      </c>
    </row>
    <row r="74" spans="1:44" s="152" customFormat="1" x14ac:dyDescent="0.2">
      <c r="A74" s="154">
        <v>21</v>
      </c>
      <c r="B74" s="155">
        <v>3415</v>
      </c>
      <c r="C74" s="155">
        <v>600078523</v>
      </c>
      <c r="D74" s="155">
        <v>72743271</v>
      </c>
      <c r="E74" s="156" t="s">
        <v>44</v>
      </c>
      <c r="F74" s="155">
        <v>3113</v>
      </c>
      <c r="G74" s="156" t="s">
        <v>278</v>
      </c>
      <c r="H74" s="157" t="s">
        <v>263</v>
      </c>
      <c r="I74" s="586">
        <f>SUM(J74:L74)</f>
        <v>0</v>
      </c>
      <c r="J74" s="323"/>
      <c r="K74" s="431">
        <f t="shared" si="218"/>
        <v>0</v>
      </c>
      <c r="L74" s="431">
        <f t="shared" si="229"/>
        <v>0</v>
      </c>
      <c r="M74" s="431">
        <v>0</v>
      </c>
      <c r="N74" s="784">
        <v>0</v>
      </c>
      <c r="O74" s="440">
        <f>V74*-1</f>
        <v>0</v>
      </c>
      <c r="P74" s="325">
        <f>2499718+24283</f>
        <v>2524001</v>
      </c>
      <c r="Q74" s="325">
        <v>0</v>
      </c>
      <c r="R74" s="325">
        <v>0</v>
      </c>
      <c r="S74" s="325">
        <v>0</v>
      </c>
      <c r="T74" s="325">
        <v>0</v>
      </c>
      <c r="U74" s="492">
        <f t="shared" si="219"/>
        <v>2524001</v>
      </c>
      <c r="V74" s="325">
        <v>0</v>
      </c>
      <c r="W74" s="325">
        <v>0</v>
      </c>
      <c r="X74" s="325">
        <v>0</v>
      </c>
      <c r="Y74" s="492">
        <f t="shared" si="220"/>
        <v>0</v>
      </c>
      <c r="Z74" s="492">
        <f t="shared" si="221"/>
        <v>2524001</v>
      </c>
      <c r="AA74" s="494">
        <f t="shared" si="222"/>
        <v>853112</v>
      </c>
      <c r="AB74" s="494">
        <f t="shared" si="223"/>
        <v>25240</v>
      </c>
      <c r="AC74" s="492">
        <v>0</v>
      </c>
      <c r="AD74" s="789">
        <f t="shared" si="224"/>
        <v>3402353</v>
      </c>
      <c r="AE74" s="715">
        <v>0</v>
      </c>
      <c r="AF74" s="326">
        <f>6.34+0.05</f>
        <v>6.39</v>
      </c>
      <c r="AG74" s="326">
        <v>0</v>
      </c>
      <c r="AH74" s="326">
        <v>0</v>
      </c>
      <c r="AI74" s="326">
        <v>0</v>
      </c>
      <c r="AJ74" s="326">
        <v>0</v>
      </c>
      <c r="AK74" s="626">
        <f t="shared" si="225"/>
        <v>6.39</v>
      </c>
      <c r="AL74" s="493">
        <f>I74+AD74</f>
        <v>3402353</v>
      </c>
      <c r="AM74" s="492">
        <f>J74+U74</f>
        <v>2524001</v>
      </c>
      <c r="AN74" s="492">
        <f t="shared" si="226"/>
        <v>0</v>
      </c>
      <c r="AO74" s="492">
        <f t="shared" si="227"/>
        <v>853112</v>
      </c>
      <c r="AP74" s="492">
        <f t="shared" si="227"/>
        <v>25240</v>
      </c>
      <c r="AQ74" s="578">
        <f t="shared" si="227"/>
        <v>0</v>
      </c>
      <c r="AR74" s="491">
        <f t="shared" si="228"/>
        <v>6.39</v>
      </c>
    </row>
    <row r="75" spans="1:44" s="152" customFormat="1" ht="12.75" customHeight="1" x14ac:dyDescent="0.2">
      <c r="A75" s="154">
        <v>21</v>
      </c>
      <c r="B75" s="155">
        <v>3415</v>
      </c>
      <c r="C75" s="155">
        <v>600078523</v>
      </c>
      <c r="D75" s="155">
        <v>72743271</v>
      </c>
      <c r="E75" s="156" t="s">
        <v>44</v>
      </c>
      <c r="F75" s="155">
        <v>3143</v>
      </c>
      <c r="G75" s="156" t="s">
        <v>795</v>
      </c>
      <c r="H75" s="157" t="s">
        <v>262</v>
      </c>
      <c r="I75" s="586">
        <f>SUM(J75:L75)</f>
        <v>4035426</v>
      </c>
      <c r="J75" s="323">
        <v>2993640</v>
      </c>
      <c r="K75" s="431">
        <f t="shared" si="218"/>
        <v>1011850</v>
      </c>
      <c r="L75" s="431">
        <f t="shared" si="229"/>
        <v>29936</v>
      </c>
      <c r="M75" s="431">
        <v>0</v>
      </c>
      <c r="N75" s="784">
        <v>5.59</v>
      </c>
      <c r="O75" s="440">
        <f>V75*-1</f>
        <v>0</v>
      </c>
      <c r="P75" s="325">
        <v>0</v>
      </c>
      <c r="Q75" s="325">
        <v>0</v>
      </c>
      <c r="R75" s="325">
        <v>0</v>
      </c>
      <c r="S75" s="325">
        <v>0</v>
      </c>
      <c r="T75" s="325">
        <v>0</v>
      </c>
      <c r="U75" s="492">
        <f t="shared" si="219"/>
        <v>0</v>
      </c>
      <c r="V75" s="325">
        <v>0</v>
      </c>
      <c r="W75" s="325">
        <v>0</v>
      </c>
      <c r="X75" s="325">
        <v>0</v>
      </c>
      <c r="Y75" s="492">
        <f t="shared" si="220"/>
        <v>0</v>
      </c>
      <c r="Z75" s="492">
        <f t="shared" si="221"/>
        <v>0</v>
      </c>
      <c r="AA75" s="494">
        <f t="shared" si="222"/>
        <v>0</v>
      </c>
      <c r="AB75" s="494">
        <f t="shared" si="223"/>
        <v>0</v>
      </c>
      <c r="AC75" s="492">
        <v>0</v>
      </c>
      <c r="AD75" s="789">
        <f t="shared" si="224"/>
        <v>0</v>
      </c>
      <c r="AE75" s="715">
        <v>0</v>
      </c>
      <c r="AF75" s="326">
        <v>0</v>
      </c>
      <c r="AG75" s="326">
        <v>0</v>
      </c>
      <c r="AH75" s="326">
        <v>0</v>
      </c>
      <c r="AI75" s="326">
        <v>0</v>
      </c>
      <c r="AJ75" s="326">
        <v>0</v>
      </c>
      <c r="AK75" s="626">
        <f t="shared" si="225"/>
        <v>0</v>
      </c>
      <c r="AL75" s="493">
        <f>I75+AD75</f>
        <v>4035426</v>
      </c>
      <c r="AM75" s="492">
        <f>J75+U75</f>
        <v>2993640</v>
      </c>
      <c r="AN75" s="492">
        <f t="shared" si="226"/>
        <v>0</v>
      </c>
      <c r="AO75" s="492">
        <f t="shared" si="227"/>
        <v>1011850</v>
      </c>
      <c r="AP75" s="492">
        <f t="shared" si="227"/>
        <v>29936</v>
      </c>
      <c r="AQ75" s="578">
        <f t="shared" si="227"/>
        <v>0</v>
      </c>
      <c r="AR75" s="491">
        <f t="shared" si="228"/>
        <v>5.59</v>
      </c>
    </row>
    <row r="76" spans="1:44" s="152" customFormat="1" ht="12.75" customHeight="1" x14ac:dyDescent="0.2">
      <c r="A76" s="105">
        <v>21</v>
      </c>
      <c r="B76" s="12">
        <v>3415</v>
      </c>
      <c r="C76" s="104">
        <v>600078523</v>
      </c>
      <c r="D76" s="104">
        <v>72743271</v>
      </c>
      <c r="E76" s="153" t="s">
        <v>45</v>
      </c>
      <c r="F76" s="12"/>
      <c r="G76" s="153"/>
      <c r="H76" s="407"/>
      <c r="I76" s="782">
        <f t="shared" ref="I76:AR76" si="230">SUM(I72:I75)</f>
        <v>35355730</v>
      </c>
      <c r="J76" s="378">
        <f t="shared" si="230"/>
        <v>26228286</v>
      </c>
      <c r="K76" s="378">
        <f t="shared" si="230"/>
        <v>8865161</v>
      </c>
      <c r="L76" s="378">
        <f t="shared" si="230"/>
        <v>262283</v>
      </c>
      <c r="M76" s="378">
        <f t="shared" si="230"/>
        <v>0</v>
      </c>
      <c r="N76" s="340">
        <f t="shared" si="230"/>
        <v>35.54</v>
      </c>
      <c r="O76" s="444">
        <f t="shared" si="230"/>
        <v>0</v>
      </c>
      <c r="P76" s="378">
        <f t="shared" si="230"/>
        <v>2524001</v>
      </c>
      <c r="Q76" s="378">
        <f t="shared" si="230"/>
        <v>0</v>
      </c>
      <c r="R76" s="378">
        <f t="shared" si="230"/>
        <v>0</v>
      </c>
      <c r="S76" s="378">
        <f t="shared" si="230"/>
        <v>0</v>
      </c>
      <c r="T76" s="378">
        <f t="shared" si="230"/>
        <v>0</v>
      </c>
      <c r="U76" s="378">
        <f t="shared" si="230"/>
        <v>2524001</v>
      </c>
      <c r="V76" s="378">
        <f t="shared" si="230"/>
        <v>0</v>
      </c>
      <c r="W76" s="378">
        <f t="shared" si="230"/>
        <v>0</v>
      </c>
      <c r="X76" s="378">
        <f t="shared" si="230"/>
        <v>0</v>
      </c>
      <c r="Y76" s="378">
        <f t="shared" si="230"/>
        <v>0</v>
      </c>
      <c r="Z76" s="378">
        <f t="shared" si="230"/>
        <v>2524001</v>
      </c>
      <c r="AA76" s="378">
        <f t="shared" si="230"/>
        <v>853112</v>
      </c>
      <c r="AB76" s="378">
        <f t="shared" si="230"/>
        <v>25240</v>
      </c>
      <c r="AC76" s="378">
        <f t="shared" si="230"/>
        <v>0</v>
      </c>
      <c r="AD76" s="788">
        <f t="shared" si="230"/>
        <v>3402353</v>
      </c>
      <c r="AE76" s="790">
        <f t="shared" si="230"/>
        <v>0</v>
      </c>
      <c r="AF76" s="398">
        <f t="shared" si="230"/>
        <v>6.39</v>
      </c>
      <c r="AG76" s="398">
        <f t="shared" si="230"/>
        <v>0</v>
      </c>
      <c r="AH76" s="398">
        <f t="shared" si="230"/>
        <v>0</v>
      </c>
      <c r="AI76" s="398">
        <f t="shared" si="230"/>
        <v>0</v>
      </c>
      <c r="AJ76" s="398">
        <f t="shared" si="230"/>
        <v>0</v>
      </c>
      <c r="AK76" s="340">
        <f t="shared" si="230"/>
        <v>6.39</v>
      </c>
      <c r="AL76" s="444">
        <f t="shared" si="230"/>
        <v>38758083</v>
      </c>
      <c r="AM76" s="378">
        <f t="shared" si="230"/>
        <v>28752287</v>
      </c>
      <c r="AN76" s="378">
        <f t="shared" si="230"/>
        <v>0</v>
      </c>
      <c r="AO76" s="378">
        <f t="shared" si="230"/>
        <v>9718273</v>
      </c>
      <c r="AP76" s="378">
        <f t="shared" si="230"/>
        <v>287523</v>
      </c>
      <c r="AQ76" s="378">
        <f t="shared" si="230"/>
        <v>0</v>
      </c>
      <c r="AR76" s="398">
        <f t="shared" si="230"/>
        <v>41.929999999999993</v>
      </c>
    </row>
    <row r="77" spans="1:44" s="152" customFormat="1" ht="12.75" customHeight="1" x14ac:dyDescent="0.2">
      <c r="A77" s="154">
        <v>22</v>
      </c>
      <c r="B77" s="155">
        <v>3412</v>
      </c>
      <c r="C77" s="155">
        <v>600078540</v>
      </c>
      <c r="D77" s="155">
        <v>72742879</v>
      </c>
      <c r="E77" s="156" t="s">
        <v>46</v>
      </c>
      <c r="F77" s="155">
        <v>3113</v>
      </c>
      <c r="G77" s="156" t="s">
        <v>280</v>
      </c>
      <c r="H77" s="157" t="s">
        <v>262</v>
      </c>
      <c r="I77" s="627">
        <f>SUM(J77:L77)</f>
        <v>43371179</v>
      </c>
      <c r="J77" s="410">
        <v>32174466</v>
      </c>
      <c r="K77" s="431">
        <f>ROUND(J77*33.8%,0)-1</f>
        <v>10874969</v>
      </c>
      <c r="L77" s="431">
        <f>ROUND(J77*1%,0)-1</f>
        <v>321744</v>
      </c>
      <c r="M77" s="431">
        <v>0</v>
      </c>
      <c r="N77" s="783">
        <v>40.5</v>
      </c>
      <c r="O77" s="445">
        <f>V77*-1</f>
        <v>0</v>
      </c>
      <c r="P77" s="325">
        <v>0</v>
      </c>
      <c r="Q77" s="325">
        <v>104250</v>
      </c>
      <c r="R77" s="325">
        <v>0</v>
      </c>
      <c r="S77" s="325">
        <v>0</v>
      </c>
      <c r="T77" s="325">
        <v>0</v>
      </c>
      <c r="U77" s="492">
        <f t="shared" ref="U77:U80" si="231">O77+P77+Q77+R77+S77+T77</f>
        <v>104250</v>
      </c>
      <c r="V77" s="325">
        <v>0</v>
      </c>
      <c r="W77" s="325">
        <v>0</v>
      </c>
      <c r="X77" s="325">
        <v>0</v>
      </c>
      <c r="Y77" s="492">
        <f t="shared" ref="Y77:Y80" si="232">V77+W77+X77</f>
        <v>0</v>
      </c>
      <c r="Z77" s="492">
        <f t="shared" ref="Z77:Z80" si="233">U77+Y77</f>
        <v>104250</v>
      </c>
      <c r="AA77" s="494">
        <f t="shared" ref="AA77:AA80" si="234">ROUND((U77+Y77)*33.8%,0)</f>
        <v>35237</v>
      </c>
      <c r="AB77" s="494">
        <f t="shared" ref="AB77:AB80" si="235">ROUND(U77*1%,0)</f>
        <v>1043</v>
      </c>
      <c r="AC77" s="492">
        <v>0</v>
      </c>
      <c r="AD77" s="789">
        <f t="shared" ref="AD77:AD80" si="236">Z77+AA77+AB77+AC77</f>
        <v>140530</v>
      </c>
      <c r="AE77" s="715">
        <v>0</v>
      </c>
      <c r="AF77" s="326">
        <v>0</v>
      </c>
      <c r="AG77" s="326">
        <v>0</v>
      </c>
      <c r="AH77" s="326">
        <v>0.14000000000000001</v>
      </c>
      <c r="AI77" s="326">
        <v>0</v>
      </c>
      <c r="AJ77" s="326">
        <v>0</v>
      </c>
      <c r="AK77" s="626">
        <f t="shared" ref="AK77:AK80" si="237">SUM(AE77:AJ77)</f>
        <v>0.14000000000000001</v>
      </c>
      <c r="AL77" s="493">
        <f>I77+AD77</f>
        <v>43511709</v>
      </c>
      <c r="AM77" s="492">
        <f>J77+U77</f>
        <v>32278716</v>
      </c>
      <c r="AN77" s="492">
        <f t="shared" ref="AN77:AN80" si="238">Y77</f>
        <v>0</v>
      </c>
      <c r="AO77" s="492">
        <f t="shared" ref="AO77:AQ80" si="239">K77+AA77</f>
        <v>10910206</v>
      </c>
      <c r="AP77" s="492">
        <f t="shared" si="239"/>
        <v>322787</v>
      </c>
      <c r="AQ77" s="578">
        <f t="shared" si="239"/>
        <v>0</v>
      </c>
      <c r="AR77" s="491">
        <f t="shared" ref="AR77:AR80" si="240">N77+AK77</f>
        <v>40.64</v>
      </c>
    </row>
    <row r="78" spans="1:44" s="152" customFormat="1" ht="12.75" customHeight="1" x14ac:dyDescent="0.2">
      <c r="A78" s="154">
        <v>22</v>
      </c>
      <c r="B78" s="155">
        <v>3412</v>
      </c>
      <c r="C78" s="155">
        <v>600078540</v>
      </c>
      <c r="D78" s="155">
        <v>72742879</v>
      </c>
      <c r="E78" s="156" t="s">
        <v>46</v>
      </c>
      <c r="F78" s="155">
        <v>3113</v>
      </c>
      <c r="G78" s="156" t="s">
        <v>799</v>
      </c>
      <c r="H78" s="157" t="s">
        <v>262</v>
      </c>
      <c r="I78" s="627">
        <f>SUM(J78:L78)</f>
        <v>809690</v>
      </c>
      <c r="J78" s="410">
        <v>600660</v>
      </c>
      <c r="K78" s="431">
        <f t="shared" ref="K78:K80" si="241">ROUND(J78*33.8%,0)</f>
        <v>203023</v>
      </c>
      <c r="L78" s="431">
        <f t="shared" ref="L78:L80" si="242">ROUND(J78*1%,0)</f>
        <v>6007</v>
      </c>
      <c r="M78" s="431">
        <v>0</v>
      </c>
      <c r="N78" s="783">
        <v>1</v>
      </c>
      <c r="O78" s="445">
        <f>V78*-1</f>
        <v>0</v>
      </c>
      <c r="P78" s="325">
        <v>0</v>
      </c>
      <c r="Q78" s="325">
        <v>0</v>
      </c>
      <c r="R78" s="325">
        <v>0</v>
      </c>
      <c r="S78" s="325">
        <v>0</v>
      </c>
      <c r="T78" s="325">
        <v>0</v>
      </c>
      <c r="U78" s="492">
        <f t="shared" si="231"/>
        <v>0</v>
      </c>
      <c r="V78" s="325">
        <v>0</v>
      </c>
      <c r="W78" s="325">
        <v>0</v>
      </c>
      <c r="X78" s="325">
        <v>0</v>
      </c>
      <c r="Y78" s="492">
        <f t="shared" si="232"/>
        <v>0</v>
      </c>
      <c r="Z78" s="492">
        <f t="shared" si="233"/>
        <v>0</v>
      </c>
      <c r="AA78" s="494">
        <f t="shared" si="234"/>
        <v>0</v>
      </c>
      <c r="AB78" s="494">
        <f t="shared" si="235"/>
        <v>0</v>
      </c>
      <c r="AC78" s="492">
        <v>0</v>
      </c>
      <c r="AD78" s="789">
        <f t="shared" si="236"/>
        <v>0</v>
      </c>
      <c r="AE78" s="715">
        <v>0</v>
      </c>
      <c r="AF78" s="326">
        <v>0</v>
      </c>
      <c r="AG78" s="326">
        <v>0</v>
      </c>
      <c r="AH78" s="326">
        <v>0</v>
      </c>
      <c r="AI78" s="326">
        <v>0</v>
      </c>
      <c r="AJ78" s="326">
        <v>0</v>
      </c>
      <c r="AK78" s="626">
        <f t="shared" si="237"/>
        <v>0</v>
      </c>
      <c r="AL78" s="493">
        <f>I78+AD78</f>
        <v>809690</v>
      </c>
      <c r="AM78" s="492">
        <f>J78+U78</f>
        <v>600660</v>
      </c>
      <c r="AN78" s="492">
        <f t="shared" si="238"/>
        <v>0</v>
      </c>
      <c r="AO78" s="492">
        <f t="shared" si="239"/>
        <v>203023</v>
      </c>
      <c r="AP78" s="492">
        <f t="shared" si="239"/>
        <v>6007</v>
      </c>
      <c r="AQ78" s="578">
        <f t="shared" si="239"/>
        <v>0</v>
      </c>
      <c r="AR78" s="491">
        <f t="shared" si="240"/>
        <v>1</v>
      </c>
    </row>
    <row r="79" spans="1:44" s="152" customFormat="1" x14ac:dyDescent="0.2">
      <c r="A79" s="154">
        <v>22</v>
      </c>
      <c r="B79" s="155">
        <v>3412</v>
      </c>
      <c r="C79" s="155">
        <v>600078540</v>
      </c>
      <c r="D79" s="155">
        <v>72742879</v>
      </c>
      <c r="E79" s="156" t="s">
        <v>46</v>
      </c>
      <c r="F79" s="155">
        <v>3113</v>
      </c>
      <c r="G79" s="156" t="s">
        <v>278</v>
      </c>
      <c r="H79" s="157" t="s">
        <v>263</v>
      </c>
      <c r="I79" s="586">
        <f>SUM(J79:L79)</f>
        <v>0</v>
      </c>
      <c r="J79" s="323"/>
      <c r="K79" s="431">
        <f t="shared" si="241"/>
        <v>0</v>
      </c>
      <c r="L79" s="431">
        <f t="shared" si="242"/>
        <v>0</v>
      </c>
      <c r="M79" s="431">
        <v>0</v>
      </c>
      <c r="N79" s="784">
        <v>0</v>
      </c>
      <c r="O79" s="440">
        <f>V79*-1</f>
        <v>0</v>
      </c>
      <c r="P79" s="325">
        <v>4233058</v>
      </c>
      <c r="Q79" s="325">
        <v>0</v>
      </c>
      <c r="R79" s="325">
        <v>0</v>
      </c>
      <c r="S79" s="325">
        <v>0</v>
      </c>
      <c r="T79" s="325">
        <v>0</v>
      </c>
      <c r="U79" s="492">
        <f t="shared" si="231"/>
        <v>4233058</v>
      </c>
      <c r="V79" s="325">
        <v>0</v>
      </c>
      <c r="W79" s="325">
        <v>0</v>
      </c>
      <c r="X79" s="325">
        <v>0</v>
      </c>
      <c r="Y79" s="492">
        <f t="shared" si="232"/>
        <v>0</v>
      </c>
      <c r="Z79" s="492">
        <f t="shared" si="233"/>
        <v>4233058</v>
      </c>
      <c r="AA79" s="494">
        <f t="shared" si="234"/>
        <v>1430774</v>
      </c>
      <c r="AB79" s="494">
        <f t="shared" si="235"/>
        <v>42331</v>
      </c>
      <c r="AC79" s="492">
        <v>0</v>
      </c>
      <c r="AD79" s="789">
        <f t="shared" si="236"/>
        <v>5706163</v>
      </c>
      <c r="AE79" s="715">
        <v>0</v>
      </c>
      <c r="AF79" s="326">
        <v>10.67</v>
      </c>
      <c r="AG79" s="326">
        <v>0</v>
      </c>
      <c r="AH79" s="326">
        <v>0</v>
      </c>
      <c r="AI79" s="326">
        <v>0</v>
      </c>
      <c r="AJ79" s="326">
        <v>0</v>
      </c>
      <c r="AK79" s="626">
        <f t="shared" si="237"/>
        <v>10.67</v>
      </c>
      <c r="AL79" s="493">
        <f>I79+AD79</f>
        <v>5706163</v>
      </c>
      <c r="AM79" s="492">
        <f>J79+U79</f>
        <v>4233058</v>
      </c>
      <c r="AN79" s="492">
        <f t="shared" si="238"/>
        <v>0</v>
      </c>
      <c r="AO79" s="492">
        <f t="shared" si="239"/>
        <v>1430774</v>
      </c>
      <c r="AP79" s="492">
        <f t="shared" si="239"/>
        <v>42331</v>
      </c>
      <c r="AQ79" s="578">
        <f t="shared" si="239"/>
        <v>0</v>
      </c>
      <c r="AR79" s="491">
        <f t="shared" si="240"/>
        <v>10.67</v>
      </c>
    </row>
    <row r="80" spans="1:44" s="152" customFormat="1" ht="12.75" customHeight="1" x14ac:dyDescent="0.2">
      <c r="A80" s="154">
        <v>22</v>
      </c>
      <c r="B80" s="155">
        <v>3412</v>
      </c>
      <c r="C80" s="155">
        <v>600078540</v>
      </c>
      <c r="D80" s="155">
        <v>72742879</v>
      </c>
      <c r="E80" s="156" t="s">
        <v>46</v>
      </c>
      <c r="F80" s="155">
        <v>3143</v>
      </c>
      <c r="G80" s="156" t="s">
        <v>794</v>
      </c>
      <c r="H80" s="157" t="s">
        <v>262</v>
      </c>
      <c r="I80" s="586">
        <f>SUM(J80:L80)</f>
        <v>4479906</v>
      </c>
      <c r="J80" s="323">
        <v>3323372</v>
      </c>
      <c r="K80" s="431">
        <f t="shared" si="241"/>
        <v>1123300</v>
      </c>
      <c r="L80" s="431">
        <f t="shared" si="242"/>
        <v>33234</v>
      </c>
      <c r="M80" s="431">
        <v>0</v>
      </c>
      <c r="N80" s="784">
        <v>6.15</v>
      </c>
      <c r="O80" s="440">
        <f>V80*-1</f>
        <v>-60000</v>
      </c>
      <c r="P80" s="325">
        <v>0</v>
      </c>
      <c r="Q80" s="325">
        <v>0</v>
      </c>
      <c r="R80" s="325">
        <v>0</v>
      </c>
      <c r="S80" s="325">
        <v>0</v>
      </c>
      <c r="T80" s="325">
        <v>0</v>
      </c>
      <c r="U80" s="492">
        <f t="shared" si="231"/>
        <v>-60000</v>
      </c>
      <c r="V80" s="325">
        <v>60000</v>
      </c>
      <c r="W80" s="325">
        <v>0</v>
      </c>
      <c r="X80" s="325">
        <v>0</v>
      </c>
      <c r="Y80" s="492">
        <f t="shared" si="232"/>
        <v>60000</v>
      </c>
      <c r="Z80" s="492">
        <f t="shared" si="233"/>
        <v>0</v>
      </c>
      <c r="AA80" s="494">
        <f t="shared" si="234"/>
        <v>0</v>
      </c>
      <c r="AB80" s="494">
        <f t="shared" si="235"/>
        <v>-600</v>
      </c>
      <c r="AC80" s="492">
        <v>0</v>
      </c>
      <c r="AD80" s="789">
        <f t="shared" si="236"/>
        <v>-600</v>
      </c>
      <c r="AE80" s="715">
        <v>0</v>
      </c>
      <c r="AF80" s="326">
        <v>0</v>
      </c>
      <c r="AG80" s="326">
        <v>0</v>
      </c>
      <c r="AH80" s="326">
        <v>0</v>
      </c>
      <c r="AI80" s="326">
        <v>0</v>
      </c>
      <c r="AJ80" s="326">
        <v>0</v>
      </c>
      <c r="AK80" s="626">
        <f t="shared" si="237"/>
        <v>0</v>
      </c>
      <c r="AL80" s="493">
        <f>I80+AD80</f>
        <v>4479306</v>
      </c>
      <c r="AM80" s="492">
        <f>J80+U80</f>
        <v>3263372</v>
      </c>
      <c r="AN80" s="492">
        <f t="shared" si="238"/>
        <v>60000</v>
      </c>
      <c r="AO80" s="492">
        <f t="shared" si="239"/>
        <v>1123300</v>
      </c>
      <c r="AP80" s="492">
        <f t="shared" si="239"/>
        <v>32634</v>
      </c>
      <c r="AQ80" s="578">
        <f t="shared" si="239"/>
        <v>0</v>
      </c>
      <c r="AR80" s="491">
        <f t="shared" si="240"/>
        <v>6.15</v>
      </c>
    </row>
    <row r="81" spans="1:44" s="152" customFormat="1" ht="12.75" customHeight="1" x14ac:dyDescent="0.2">
      <c r="A81" s="105">
        <v>22</v>
      </c>
      <c r="B81" s="12">
        <v>3412</v>
      </c>
      <c r="C81" s="104">
        <v>600078540</v>
      </c>
      <c r="D81" s="104">
        <v>72742879</v>
      </c>
      <c r="E81" s="153" t="s">
        <v>47</v>
      </c>
      <c r="F81" s="12"/>
      <c r="G81" s="153"/>
      <c r="H81" s="407"/>
      <c r="I81" s="782">
        <f t="shared" ref="I81:AR81" si="243">SUM(I77:I80)</f>
        <v>48660775</v>
      </c>
      <c r="J81" s="378">
        <f t="shared" si="243"/>
        <v>36098498</v>
      </c>
      <c r="K81" s="378">
        <f t="shared" si="243"/>
        <v>12201292</v>
      </c>
      <c r="L81" s="378">
        <f t="shared" si="243"/>
        <v>360985</v>
      </c>
      <c r="M81" s="378">
        <f t="shared" si="243"/>
        <v>0</v>
      </c>
      <c r="N81" s="340">
        <f t="shared" si="243"/>
        <v>47.65</v>
      </c>
      <c r="O81" s="444">
        <f t="shared" si="243"/>
        <v>-60000</v>
      </c>
      <c r="P81" s="378">
        <f t="shared" si="243"/>
        <v>4233058</v>
      </c>
      <c r="Q81" s="378">
        <f t="shared" si="243"/>
        <v>104250</v>
      </c>
      <c r="R81" s="378">
        <f t="shared" si="243"/>
        <v>0</v>
      </c>
      <c r="S81" s="378">
        <f t="shared" si="243"/>
        <v>0</v>
      </c>
      <c r="T81" s="378">
        <f t="shared" si="243"/>
        <v>0</v>
      </c>
      <c r="U81" s="378">
        <f t="shared" si="243"/>
        <v>4277308</v>
      </c>
      <c r="V81" s="378">
        <f t="shared" si="243"/>
        <v>60000</v>
      </c>
      <c r="W81" s="378">
        <f t="shared" si="243"/>
        <v>0</v>
      </c>
      <c r="X81" s="378">
        <f t="shared" si="243"/>
        <v>0</v>
      </c>
      <c r="Y81" s="378">
        <f t="shared" si="243"/>
        <v>60000</v>
      </c>
      <c r="Z81" s="378">
        <f t="shared" si="243"/>
        <v>4337308</v>
      </c>
      <c r="AA81" s="378">
        <f t="shared" si="243"/>
        <v>1466011</v>
      </c>
      <c r="AB81" s="378">
        <f t="shared" si="243"/>
        <v>42774</v>
      </c>
      <c r="AC81" s="378">
        <f t="shared" si="243"/>
        <v>0</v>
      </c>
      <c r="AD81" s="788">
        <f t="shared" si="243"/>
        <v>5846093</v>
      </c>
      <c r="AE81" s="790">
        <f t="shared" si="243"/>
        <v>0</v>
      </c>
      <c r="AF81" s="398">
        <f t="shared" si="243"/>
        <v>10.67</v>
      </c>
      <c r="AG81" s="398">
        <f t="shared" si="243"/>
        <v>0</v>
      </c>
      <c r="AH81" s="398">
        <f t="shared" si="243"/>
        <v>0.14000000000000001</v>
      </c>
      <c r="AI81" s="398">
        <f t="shared" si="243"/>
        <v>0</v>
      </c>
      <c r="AJ81" s="398">
        <f t="shared" si="243"/>
        <v>0</v>
      </c>
      <c r="AK81" s="340">
        <f t="shared" si="243"/>
        <v>10.81</v>
      </c>
      <c r="AL81" s="444">
        <f t="shared" si="243"/>
        <v>54506868</v>
      </c>
      <c r="AM81" s="378">
        <f t="shared" si="243"/>
        <v>40375806</v>
      </c>
      <c r="AN81" s="378">
        <f t="shared" si="243"/>
        <v>60000</v>
      </c>
      <c r="AO81" s="378">
        <f t="shared" si="243"/>
        <v>13667303</v>
      </c>
      <c r="AP81" s="378">
        <f t="shared" si="243"/>
        <v>403759</v>
      </c>
      <c r="AQ81" s="378">
        <f t="shared" si="243"/>
        <v>0</v>
      </c>
      <c r="AR81" s="398">
        <f t="shared" si="243"/>
        <v>58.46</v>
      </c>
    </row>
    <row r="82" spans="1:44" s="152" customFormat="1" ht="12" customHeight="1" x14ac:dyDescent="0.2">
      <c r="A82" s="154">
        <v>23</v>
      </c>
      <c r="B82" s="155">
        <v>3416</v>
      </c>
      <c r="C82" s="155">
        <v>600078426</v>
      </c>
      <c r="D82" s="155">
        <v>72743034</v>
      </c>
      <c r="E82" s="156" t="s">
        <v>48</v>
      </c>
      <c r="F82" s="155">
        <v>3113</v>
      </c>
      <c r="G82" s="156" t="s">
        <v>280</v>
      </c>
      <c r="H82" s="157" t="s">
        <v>262</v>
      </c>
      <c r="I82" s="627">
        <f>SUM(J82:L82)</f>
        <v>38458018</v>
      </c>
      <c r="J82" s="410">
        <v>28529686</v>
      </c>
      <c r="K82" s="431">
        <f>ROUND(J82*33.8%,0)+1</f>
        <v>9643035</v>
      </c>
      <c r="L82" s="431">
        <f t="shared" ref="L82:L85" si="244">ROUND(J82*1%,0)</f>
        <v>285297</v>
      </c>
      <c r="M82" s="431">
        <v>0</v>
      </c>
      <c r="N82" s="783">
        <v>38.5</v>
      </c>
      <c r="O82" s="445">
        <f>V82*-1</f>
        <v>-72000</v>
      </c>
      <c r="P82" s="325">
        <v>0</v>
      </c>
      <c r="Q82" s="325">
        <v>0</v>
      </c>
      <c r="R82" s="325">
        <v>0</v>
      </c>
      <c r="S82" s="325">
        <v>0</v>
      </c>
      <c r="T82" s="325">
        <v>0</v>
      </c>
      <c r="U82" s="492">
        <f t="shared" ref="U82:U85" si="245">O82+P82+Q82+R82+S82+T82</f>
        <v>-72000</v>
      </c>
      <c r="V82" s="325">
        <v>72000</v>
      </c>
      <c r="W82" s="325">
        <v>0</v>
      </c>
      <c r="X82" s="325">
        <v>0</v>
      </c>
      <c r="Y82" s="492">
        <f t="shared" ref="Y82:Y85" si="246">V82+W82+X82</f>
        <v>72000</v>
      </c>
      <c r="Z82" s="492">
        <f t="shared" ref="Z82:Z85" si="247">U82+Y82</f>
        <v>0</v>
      </c>
      <c r="AA82" s="494">
        <f t="shared" ref="AA82:AA85" si="248">ROUND((U82+Y82)*33.8%,0)</f>
        <v>0</v>
      </c>
      <c r="AB82" s="494">
        <f t="shared" ref="AB82:AB85" si="249">ROUND(U82*1%,0)</f>
        <v>-720</v>
      </c>
      <c r="AC82" s="492">
        <v>0</v>
      </c>
      <c r="AD82" s="789">
        <f t="shared" ref="AD82:AD85" si="250">Z82+AA82+AB82+AC82</f>
        <v>-720</v>
      </c>
      <c r="AE82" s="715">
        <v>-0.12</v>
      </c>
      <c r="AF82" s="326">
        <v>0</v>
      </c>
      <c r="AG82" s="326">
        <v>0</v>
      </c>
      <c r="AH82" s="326">
        <v>0</v>
      </c>
      <c r="AI82" s="326">
        <v>0</v>
      </c>
      <c r="AJ82" s="326">
        <v>0</v>
      </c>
      <c r="AK82" s="626">
        <f t="shared" ref="AK82:AK85" si="251">SUM(AE82:AJ82)</f>
        <v>-0.12</v>
      </c>
      <c r="AL82" s="493">
        <f>I82+AD82</f>
        <v>38457298</v>
      </c>
      <c r="AM82" s="492">
        <f>J82+U82</f>
        <v>28457686</v>
      </c>
      <c r="AN82" s="492">
        <f t="shared" ref="AN82:AN85" si="252">Y82</f>
        <v>72000</v>
      </c>
      <c r="AO82" s="492">
        <f t="shared" ref="AO82:AQ85" si="253">K82+AA82</f>
        <v>9643035</v>
      </c>
      <c r="AP82" s="492">
        <f t="shared" si="253"/>
        <v>284577</v>
      </c>
      <c r="AQ82" s="578">
        <f t="shared" si="253"/>
        <v>0</v>
      </c>
      <c r="AR82" s="491">
        <f t="shared" ref="AR82:AR85" si="254">N82+AK82</f>
        <v>38.380000000000003</v>
      </c>
    </row>
    <row r="83" spans="1:44" s="152" customFormat="1" ht="12" customHeight="1" x14ac:dyDescent="0.2">
      <c r="A83" s="154">
        <v>23</v>
      </c>
      <c r="B83" s="155">
        <v>3416</v>
      </c>
      <c r="C83" s="155">
        <v>600078426</v>
      </c>
      <c r="D83" s="155">
        <v>72743034</v>
      </c>
      <c r="E83" s="156" t="s">
        <v>48</v>
      </c>
      <c r="F83" s="155">
        <v>3113</v>
      </c>
      <c r="G83" s="156" t="s">
        <v>799</v>
      </c>
      <c r="H83" s="157" t="s">
        <v>262</v>
      </c>
      <c r="I83" s="627">
        <f>SUM(J83:L83)</f>
        <v>719330</v>
      </c>
      <c r="J83" s="410">
        <v>533628</v>
      </c>
      <c r="K83" s="431">
        <f t="shared" ref="K83:K85" si="255">ROUND(J83*33.8%,0)</f>
        <v>180366</v>
      </c>
      <c r="L83" s="431">
        <f t="shared" si="244"/>
        <v>5336</v>
      </c>
      <c r="M83" s="431">
        <v>0</v>
      </c>
      <c r="N83" s="783">
        <v>1</v>
      </c>
      <c r="O83" s="445">
        <f>V83*-1</f>
        <v>0</v>
      </c>
      <c r="P83" s="325">
        <v>0</v>
      </c>
      <c r="Q83" s="325">
        <v>0</v>
      </c>
      <c r="R83" s="325">
        <v>0</v>
      </c>
      <c r="S83" s="325">
        <v>0</v>
      </c>
      <c r="T83" s="325">
        <v>0</v>
      </c>
      <c r="U83" s="492">
        <f t="shared" si="245"/>
        <v>0</v>
      </c>
      <c r="V83" s="325">
        <v>0</v>
      </c>
      <c r="W83" s="325">
        <v>0</v>
      </c>
      <c r="X83" s="325">
        <v>0</v>
      </c>
      <c r="Y83" s="492">
        <f t="shared" si="246"/>
        <v>0</v>
      </c>
      <c r="Z83" s="492">
        <f t="shared" si="247"/>
        <v>0</v>
      </c>
      <c r="AA83" s="494">
        <f t="shared" si="248"/>
        <v>0</v>
      </c>
      <c r="AB83" s="494">
        <f t="shared" si="249"/>
        <v>0</v>
      </c>
      <c r="AC83" s="492">
        <v>0</v>
      </c>
      <c r="AD83" s="789">
        <f t="shared" si="250"/>
        <v>0</v>
      </c>
      <c r="AE83" s="715">
        <v>0</v>
      </c>
      <c r="AF83" s="326">
        <v>0</v>
      </c>
      <c r="AG83" s="326">
        <v>0</v>
      </c>
      <c r="AH83" s="326">
        <v>0</v>
      </c>
      <c r="AI83" s="326">
        <v>0</v>
      </c>
      <c r="AJ83" s="326">
        <v>0</v>
      </c>
      <c r="AK83" s="626">
        <f t="shared" si="251"/>
        <v>0</v>
      </c>
      <c r="AL83" s="493">
        <f>I83+AD83</f>
        <v>719330</v>
      </c>
      <c r="AM83" s="492">
        <f>J83+U83</f>
        <v>533628</v>
      </c>
      <c r="AN83" s="492">
        <f t="shared" si="252"/>
        <v>0</v>
      </c>
      <c r="AO83" s="492">
        <f t="shared" si="253"/>
        <v>180366</v>
      </c>
      <c r="AP83" s="492">
        <f t="shared" si="253"/>
        <v>5336</v>
      </c>
      <c r="AQ83" s="578">
        <f t="shared" si="253"/>
        <v>0</v>
      </c>
      <c r="AR83" s="491">
        <f t="shared" si="254"/>
        <v>1</v>
      </c>
    </row>
    <row r="84" spans="1:44" s="152" customFormat="1" ht="12" customHeight="1" x14ac:dyDescent="0.2">
      <c r="A84" s="154">
        <v>23</v>
      </c>
      <c r="B84" s="155">
        <v>3416</v>
      </c>
      <c r="C84" s="155">
        <v>600078426</v>
      </c>
      <c r="D84" s="155">
        <v>72743034</v>
      </c>
      <c r="E84" s="156" t="s">
        <v>48</v>
      </c>
      <c r="F84" s="155">
        <v>3113</v>
      </c>
      <c r="G84" s="156" t="s">
        <v>278</v>
      </c>
      <c r="H84" s="157" t="s">
        <v>263</v>
      </c>
      <c r="I84" s="586">
        <f>SUM(J84:L84)</f>
        <v>0</v>
      </c>
      <c r="J84" s="323"/>
      <c r="K84" s="431">
        <f t="shared" si="255"/>
        <v>0</v>
      </c>
      <c r="L84" s="431">
        <f t="shared" si="244"/>
        <v>0</v>
      </c>
      <c r="M84" s="431">
        <v>0</v>
      </c>
      <c r="N84" s="784">
        <v>0</v>
      </c>
      <c r="O84" s="440">
        <f>V84*-1</f>
        <v>0</v>
      </c>
      <c r="P84" s="325">
        <v>4842335</v>
      </c>
      <c r="Q84" s="325">
        <v>0</v>
      </c>
      <c r="R84" s="325">
        <v>0</v>
      </c>
      <c r="S84" s="325">
        <v>0</v>
      </c>
      <c r="T84" s="325">
        <v>0</v>
      </c>
      <c r="U84" s="492">
        <f t="shared" si="245"/>
        <v>4842335</v>
      </c>
      <c r="V84" s="325">
        <v>0</v>
      </c>
      <c r="W84" s="325">
        <v>0</v>
      </c>
      <c r="X84" s="325">
        <v>0</v>
      </c>
      <c r="Y84" s="492">
        <f t="shared" si="246"/>
        <v>0</v>
      </c>
      <c r="Z84" s="492">
        <f t="shared" si="247"/>
        <v>4842335</v>
      </c>
      <c r="AA84" s="494">
        <f t="shared" si="248"/>
        <v>1636709</v>
      </c>
      <c r="AB84" s="494">
        <f t="shared" si="249"/>
        <v>48423</v>
      </c>
      <c r="AC84" s="492">
        <v>0</v>
      </c>
      <c r="AD84" s="789">
        <f t="shared" si="250"/>
        <v>6527467</v>
      </c>
      <c r="AE84" s="715">
        <v>0</v>
      </c>
      <c r="AF84" s="326">
        <v>11.82</v>
      </c>
      <c r="AG84" s="326">
        <v>0</v>
      </c>
      <c r="AH84" s="326">
        <v>0</v>
      </c>
      <c r="AI84" s="326">
        <v>0</v>
      </c>
      <c r="AJ84" s="326">
        <v>0</v>
      </c>
      <c r="AK84" s="626">
        <f t="shared" si="251"/>
        <v>11.82</v>
      </c>
      <c r="AL84" s="493">
        <f>I84+AD84</f>
        <v>6527467</v>
      </c>
      <c r="AM84" s="492">
        <f>J84+U84</f>
        <v>4842335</v>
      </c>
      <c r="AN84" s="492">
        <f t="shared" si="252"/>
        <v>0</v>
      </c>
      <c r="AO84" s="492">
        <f t="shared" si="253"/>
        <v>1636709</v>
      </c>
      <c r="AP84" s="492">
        <f t="shared" si="253"/>
        <v>48423</v>
      </c>
      <c r="AQ84" s="578">
        <f t="shared" si="253"/>
        <v>0</v>
      </c>
      <c r="AR84" s="491">
        <f t="shared" si="254"/>
        <v>11.82</v>
      </c>
    </row>
    <row r="85" spans="1:44" s="152" customFormat="1" ht="12.75" customHeight="1" x14ac:dyDescent="0.2">
      <c r="A85" s="154">
        <v>23</v>
      </c>
      <c r="B85" s="155">
        <v>3416</v>
      </c>
      <c r="C85" s="155">
        <v>600078426</v>
      </c>
      <c r="D85" s="155">
        <v>72743034</v>
      </c>
      <c r="E85" s="156" t="s">
        <v>48</v>
      </c>
      <c r="F85" s="155">
        <v>3143</v>
      </c>
      <c r="G85" s="156" t="s">
        <v>794</v>
      </c>
      <c r="H85" s="157" t="s">
        <v>262</v>
      </c>
      <c r="I85" s="586">
        <f>SUM(J85:L85)</f>
        <v>4225256</v>
      </c>
      <c r="J85" s="323">
        <v>3134463</v>
      </c>
      <c r="K85" s="431">
        <f t="shared" si="255"/>
        <v>1059448</v>
      </c>
      <c r="L85" s="431">
        <f t="shared" si="244"/>
        <v>31345</v>
      </c>
      <c r="M85" s="431">
        <v>0</v>
      </c>
      <c r="N85" s="784">
        <v>5.69</v>
      </c>
      <c r="O85" s="440">
        <f>V85*-1</f>
        <v>0</v>
      </c>
      <c r="P85" s="325">
        <v>0</v>
      </c>
      <c r="Q85" s="325">
        <v>0</v>
      </c>
      <c r="R85" s="325">
        <v>0</v>
      </c>
      <c r="S85" s="325">
        <v>0</v>
      </c>
      <c r="T85" s="325">
        <v>0</v>
      </c>
      <c r="U85" s="492">
        <f t="shared" si="245"/>
        <v>0</v>
      </c>
      <c r="V85" s="325">
        <v>0</v>
      </c>
      <c r="W85" s="325">
        <v>0</v>
      </c>
      <c r="X85" s="325">
        <v>0</v>
      </c>
      <c r="Y85" s="492">
        <f t="shared" si="246"/>
        <v>0</v>
      </c>
      <c r="Z85" s="492">
        <f t="shared" si="247"/>
        <v>0</v>
      </c>
      <c r="AA85" s="494">
        <f t="shared" si="248"/>
        <v>0</v>
      </c>
      <c r="AB85" s="494">
        <f t="shared" si="249"/>
        <v>0</v>
      </c>
      <c r="AC85" s="492">
        <v>0</v>
      </c>
      <c r="AD85" s="789">
        <f t="shared" si="250"/>
        <v>0</v>
      </c>
      <c r="AE85" s="715">
        <v>0</v>
      </c>
      <c r="AF85" s="326">
        <v>0</v>
      </c>
      <c r="AG85" s="326">
        <v>0</v>
      </c>
      <c r="AH85" s="326">
        <v>0</v>
      </c>
      <c r="AI85" s="326">
        <v>0</v>
      </c>
      <c r="AJ85" s="326">
        <v>0</v>
      </c>
      <c r="AK85" s="626">
        <f t="shared" si="251"/>
        <v>0</v>
      </c>
      <c r="AL85" s="493">
        <f>I85+AD85</f>
        <v>4225256</v>
      </c>
      <c r="AM85" s="492">
        <f>J85+U85</f>
        <v>3134463</v>
      </c>
      <c r="AN85" s="492">
        <f t="shared" si="252"/>
        <v>0</v>
      </c>
      <c r="AO85" s="492">
        <f t="shared" si="253"/>
        <v>1059448</v>
      </c>
      <c r="AP85" s="492">
        <f t="shared" si="253"/>
        <v>31345</v>
      </c>
      <c r="AQ85" s="578">
        <f t="shared" si="253"/>
        <v>0</v>
      </c>
      <c r="AR85" s="491">
        <f t="shared" si="254"/>
        <v>5.69</v>
      </c>
    </row>
    <row r="86" spans="1:44" s="152" customFormat="1" ht="12.75" customHeight="1" x14ac:dyDescent="0.2">
      <c r="A86" s="105">
        <v>23</v>
      </c>
      <c r="B86" s="12">
        <v>3416</v>
      </c>
      <c r="C86" s="104">
        <v>600078426</v>
      </c>
      <c r="D86" s="104">
        <v>72743034</v>
      </c>
      <c r="E86" s="153" t="s">
        <v>49</v>
      </c>
      <c r="F86" s="12"/>
      <c r="G86" s="153"/>
      <c r="H86" s="407"/>
      <c r="I86" s="782">
        <f t="shared" ref="I86:AR86" si="256">SUM(I82:I85)</f>
        <v>43402604</v>
      </c>
      <c r="J86" s="378">
        <f t="shared" si="256"/>
        <v>32197777</v>
      </c>
      <c r="K86" s="378">
        <f t="shared" si="256"/>
        <v>10882849</v>
      </c>
      <c r="L86" s="378">
        <f t="shared" si="256"/>
        <v>321978</v>
      </c>
      <c r="M86" s="378">
        <f t="shared" si="256"/>
        <v>0</v>
      </c>
      <c r="N86" s="340">
        <f t="shared" si="256"/>
        <v>45.19</v>
      </c>
      <c r="O86" s="444">
        <f t="shared" si="256"/>
        <v>-72000</v>
      </c>
      <c r="P86" s="378">
        <f t="shared" si="256"/>
        <v>4842335</v>
      </c>
      <c r="Q86" s="378">
        <f t="shared" si="256"/>
        <v>0</v>
      </c>
      <c r="R86" s="378">
        <f t="shared" si="256"/>
        <v>0</v>
      </c>
      <c r="S86" s="378">
        <f t="shared" si="256"/>
        <v>0</v>
      </c>
      <c r="T86" s="378">
        <f t="shared" si="256"/>
        <v>0</v>
      </c>
      <c r="U86" s="378">
        <f t="shared" si="256"/>
        <v>4770335</v>
      </c>
      <c r="V86" s="378">
        <f t="shared" si="256"/>
        <v>72000</v>
      </c>
      <c r="W86" s="378">
        <f t="shared" si="256"/>
        <v>0</v>
      </c>
      <c r="X86" s="378">
        <f t="shared" si="256"/>
        <v>0</v>
      </c>
      <c r="Y86" s="378">
        <f t="shared" si="256"/>
        <v>72000</v>
      </c>
      <c r="Z86" s="378">
        <f t="shared" si="256"/>
        <v>4842335</v>
      </c>
      <c r="AA86" s="378">
        <f t="shared" si="256"/>
        <v>1636709</v>
      </c>
      <c r="AB86" s="378">
        <f t="shared" si="256"/>
        <v>47703</v>
      </c>
      <c r="AC86" s="378">
        <f t="shared" si="256"/>
        <v>0</v>
      </c>
      <c r="AD86" s="788">
        <f t="shared" si="256"/>
        <v>6526747</v>
      </c>
      <c r="AE86" s="790">
        <f t="shared" si="256"/>
        <v>-0.12</v>
      </c>
      <c r="AF86" s="398">
        <f t="shared" si="256"/>
        <v>11.82</v>
      </c>
      <c r="AG86" s="398">
        <f t="shared" si="256"/>
        <v>0</v>
      </c>
      <c r="AH86" s="398">
        <f t="shared" si="256"/>
        <v>0</v>
      </c>
      <c r="AI86" s="398">
        <f t="shared" si="256"/>
        <v>0</v>
      </c>
      <c r="AJ86" s="398">
        <f t="shared" si="256"/>
        <v>0</v>
      </c>
      <c r="AK86" s="340">
        <f t="shared" si="256"/>
        <v>11.700000000000001</v>
      </c>
      <c r="AL86" s="444">
        <f t="shared" si="256"/>
        <v>49929351</v>
      </c>
      <c r="AM86" s="378">
        <f t="shared" si="256"/>
        <v>36968112</v>
      </c>
      <c r="AN86" s="378">
        <f t="shared" si="256"/>
        <v>72000</v>
      </c>
      <c r="AO86" s="378">
        <f t="shared" si="256"/>
        <v>12519558</v>
      </c>
      <c r="AP86" s="378">
        <f t="shared" si="256"/>
        <v>369681</v>
      </c>
      <c r="AQ86" s="378">
        <f t="shared" si="256"/>
        <v>0</v>
      </c>
      <c r="AR86" s="398">
        <f t="shared" si="256"/>
        <v>56.89</v>
      </c>
    </row>
    <row r="87" spans="1:44" s="152" customFormat="1" ht="12.75" customHeight="1" x14ac:dyDescent="0.2">
      <c r="A87" s="154">
        <v>24</v>
      </c>
      <c r="B87" s="155">
        <v>3414</v>
      </c>
      <c r="C87" s="155">
        <v>600078388</v>
      </c>
      <c r="D87" s="155">
        <v>43257721</v>
      </c>
      <c r="E87" s="156" t="s">
        <v>50</v>
      </c>
      <c r="F87" s="155">
        <v>3113</v>
      </c>
      <c r="G87" s="156" t="s">
        <v>280</v>
      </c>
      <c r="H87" s="157" t="s">
        <v>262</v>
      </c>
      <c r="I87" s="627">
        <f>SUM(J87:L87)</f>
        <v>36727362</v>
      </c>
      <c r="J87" s="410">
        <v>27245817</v>
      </c>
      <c r="K87" s="431">
        <f t="shared" ref="K87:K90" si="257">ROUND(J87*33.8%,0)</f>
        <v>9209086</v>
      </c>
      <c r="L87" s="431">
        <f>ROUND(J87*1%,0)+1</f>
        <v>272459</v>
      </c>
      <c r="M87" s="431">
        <v>0</v>
      </c>
      <c r="N87" s="783">
        <v>36.450000000000003</v>
      </c>
      <c r="O87" s="445">
        <f>V87*-1</f>
        <v>-24000</v>
      </c>
      <c r="P87" s="325">
        <v>0</v>
      </c>
      <c r="Q87" s="325">
        <v>0</v>
      </c>
      <c r="R87" s="325">
        <v>0</v>
      </c>
      <c r="S87" s="325">
        <v>0</v>
      </c>
      <c r="T87" s="325">
        <v>0</v>
      </c>
      <c r="U87" s="492">
        <f t="shared" ref="U87:U90" si="258">O87+P87+Q87+R87+S87+T87</f>
        <v>-24000</v>
      </c>
      <c r="V87" s="325">
        <v>24000</v>
      </c>
      <c r="W87" s="325">
        <v>0</v>
      </c>
      <c r="X87" s="325">
        <v>0</v>
      </c>
      <c r="Y87" s="492">
        <f t="shared" ref="Y87:Y90" si="259">V87+W87+X87</f>
        <v>24000</v>
      </c>
      <c r="Z87" s="492">
        <f t="shared" ref="Z87:Z90" si="260">U87+Y87</f>
        <v>0</v>
      </c>
      <c r="AA87" s="494">
        <f t="shared" ref="AA87:AA90" si="261">ROUND((U87+Y87)*33.8%,0)</f>
        <v>0</v>
      </c>
      <c r="AB87" s="494">
        <f t="shared" ref="AB87:AB90" si="262">ROUND(U87*1%,0)</f>
        <v>-240</v>
      </c>
      <c r="AC87" s="492">
        <v>0</v>
      </c>
      <c r="AD87" s="789">
        <f t="shared" ref="AD87:AD90" si="263">Z87+AA87+AB87+AC87</f>
        <v>-240</v>
      </c>
      <c r="AE87" s="715">
        <v>-0.04</v>
      </c>
      <c r="AF87" s="326">
        <v>0</v>
      </c>
      <c r="AG87" s="326">
        <v>0</v>
      </c>
      <c r="AH87" s="326">
        <v>0</v>
      </c>
      <c r="AI87" s="326">
        <v>0</v>
      </c>
      <c r="AJ87" s="326">
        <v>0</v>
      </c>
      <c r="AK87" s="626">
        <f t="shared" ref="AK87:AK90" si="264">SUM(AE87:AJ87)</f>
        <v>-0.04</v>
      </c>
      <c r="AL87" s="493">
        <f>I87+AD87</f>
        <v>36727122</v>
      </c>
      <c r="AM87" s="492">
        <f>J87+U87</f>
        <v>27221817</v>
      </c>
      <c r="AN87" s="492">
        <f t="shared" ref="AN87:AN90" si="265">Y87</f>
        <v>24000</v>
      </c>
      <c r="AO87" s="492">
        <f t="shared" ref="AO87:AQ90" si="266">K87+AA87</f>
        <v>9209086</v>
      </c>
      <c r="AP87" s="492">
        <f t="shared" si="266"/>
        <v>272219</v>
      </c>
      <c r="AQ87" s="578">
        <f t="shared" si="266"/>
        <v>0</v>
      </c>
      <c r="AR87" s="491">
        <f t="shared" ref="AR87:AR90" si="267">N87+AK87</f>
        <v>36.410000000000004</v>
      </c>
    </row>
    <row r="88" spans="1:44" s="152" customFormat="1" ht="12.75" customHeight="1" x14ac:dyDescent="0.2">
      <c r="A88" s="154">
        <v>24</v>
      </c>
      <c r="B88" s="155">
        <v>3414</v>
      </c>
      <c r="C88" s="155">
        <v>600078388</v>
      </c>
      <c r="D88" s="155">
        <v>43257721</v>
      </c>
      <c r="E88" s="156" t="s">
        <v>50</v>
      </c>
      <c r="F88" s="155">
        <v>3113</v>
      </c>
      <c r="G88" s="156" t="s">
        <v>799</v>
      </c>
      <c r="H88" s="157" t="s">
        <v>262</v>
      </c>
      <c r="I88" s="627">
        <f>SUM(J88:L88)</f>
        <v>740198</v>
      </c>
      <c r="J88" s="410">
        <v>549108</v>
      </c>
      <c r="K88" s="431">
        <f t="shared" si="257"/>
        <v>185599</v>
      </c>
      <c r="L88" s="431">
        <f t="shared" ref="L88:L90" si="268">ROUND(J88*1%,0)</f>
        <v>5491</v>
      </c>
      <c r="M88" s="431">
        <v>0</v>
      </c>
      <c r="N88" s="783">
        <v>1</v>
      </c>
      <c r="O88" s="445">
        <f>V88*-1</f>
        <v>0</v>
      </c>
      <c r="P88" s="325">
        <v>0</v>
      </c>
      <c r="Q88" s="325">
        <v>0</v>
      </c>
      <c r="R88" s="325">
        <v>0</v>
      </c>
      <c r="S88" s="325">
        <v>0</v>
      </c>
      <c r="T88" s="325">
        <v>0</v>
      </c>
      <c r="U88" s="492">
        <f t="shared" si="258"/>
        <v>0</v>
      </c>
      <c r="V88" s="325">
        <v>0</v>
      </c>
      <c r="W88" s="325">
        <v>0</v>
      </c>
      <c r="X88" s="325">
        <v>0</v>
      </c>
      <c r="Y88" s="492">
        <f t="shared" si="259"/>
        <v>0</v>
      </c>
      <c r="Z88" s="492">
        <f t="shared" si="260"/>
        <v>0</v>
      </c>
      <c r="AA88" s="494">
        <f t="shared" si="261"/>
        <v>0</v>
      </c>
      <c r="AB88" s="494">
        <f t="shared" si="262"/>
        <v>0</v>
      </c>
      <c r="AC88" s="492">
        <v>0</v>
      </c>
      <c r="AD88" s="789">
        <f t="shared" si="263"/>
        <v>0</v>
      </c>
      <c r="AE88" s="715">
        <v>0</v>
      </c>
      <c r="AF88" s="326">
        <v>0</v>
      </c>
      <c r="AG88" s="326">
        <v>0</v>
      </c>
      <c r="AH88" s="326">
        <v>0</v>
      </c>
      <c r="AI88" s="326">
        <v>0</v>
      </c>
      <c r="AJ88" s="326">
        <v>0</v>
      </c>
      <c r="AK88" s="626">
        <f t="shared" si="264"/>
        <v>0</v>
      </c>
      <c r="AL88" s="493">
        <f>I88+AD88</f>
        <v>740198</v>
      </c>
      <c r="AM88" s="492">
        <f>J88+U88</f>
        <v>549108</v>
      </c>
      <c r="AN88" s="492">
        <f t="shared" si="265"/>
        <v>0</v>
      </c>
      <c r="AO88" s="492">
        <f t="shared" si="266"/>
        <v>185599</v>
      </c>
      <c r="AP88" s="492">
        <f t="shared" si="266"/>
        <v>5491</v>
      </c>
      <c r="AQ88" s="578">
        <f t="shared" si="266"/>
        <v>0</v>
      </c>
      <c r="AR88" s="491">
        <f t="shared" si="267"/>
        <v>1</v>
      </c>
    </row>
    <row r="89" spans="1:44" s="152" customFormat="1" x14ac:dyDescent="0.2">
      <c r="A89" s="154">
        <v>24</v>
      </c>
      <c r="B89" s="155">
        <v>3414</v>
      </c>
      <c r="C89" s="155">
        <v>600078388</v>
      </c>
      <c r="D89" s="155">
        <v>43257721</v>
      </c>
      <c r="E89" s="156" t="s">
        <v>50</v>
      </c>
      <c r="F89" s="155">
        <v>3113</v>
      </c>
      <c r="G89" s="156" t="s">
        <v>278</v>
      </c>
      <c r="H89" s="157" t="s">
        <v>263</v>
      </c>
      <c r="I89" s="586">
        <f>SUM(J89:L89)</f>
        <v>0</v>
      </c>
      <c r="J89" s="323"/>
      <c r="K89" s="431">
        <f t="shared" si="257"/>
        <v>0</v>
      </c>
      <c r="L89" s="431">
        <f t="shared" si="268"/>
        <v>0</v>
      </c>
      <c r="M89" s="431">
        <v>0</v>
      </c>
      <c r="N89" s="784">
        <v>0</v>
      </c>
      <c r="O89" s="440">
        <f>V89*-1</f>
        <v>0</v>
      </c>
      <c r="P89" s="325">
        <v>3907294</v>
      </c>
      <c r="Q89" s="325">
        <v>0</v>
      </c>
      <c r="R89" s="325">
        <v>0</v>
      </c>
      <c r="S89" s="325">
        <v>0</v>
      </c>
      <c r="T89" s="325">
        <v>0</v>
      </c>
      <c r="U89" s="492">
        <f t="shared" si="258"/>
        <v>3907294</v>
      </c>
      <c r="V89" s="325">
        <v>0</v>
      </c>
      <c r="W89" s="325">
        <v>0</v>
      </c>
      <c r="X89" s="325">
        <v>0</v>
      </c>
      <c r="Y89" s="492">
        <f t="shared" si="259"/>
        <v>0</v>
      </c>
      <c r="Z89" s="492">
        <f t="shared" si="260"/>
        <v>3907294</v>
      </c>
      <c r="AA89" s="494">
        <f t="shared" si="261"/>
        <v>1320665</v>
      </c>
      <c r="AB89" s="494">
        <f t="shared" si="262"/>
        <v>39073</v>
      </c>
      <c r="AC89" s="492">
        <v>0</v>
      </c>
      <c r="AD89" s="789">
        <f t="shared" si="263"/>
        <v>5267032</v>
      </c>
      <c r="AE89" s="715">
        <v>0</v>
      </c>
      <c r="AF89" s="326">
        <v>9.58</v>
      </c>
      <c r="AG89" s="326">
        <v>0</v>
      </c>
      <c r="AH89" s="326">
        <v>0</v>
      </c>
      <c r="AI89" s="326">
        <v>0</v>
      </c>
      <c r="AJ89" s="326">
        <v>0</v>
      </c>
      <c r="AK89" s="626">
        <f t="shared" si="264"/>
        <v>9.58</v>
      </c>
      <c r="AL89" s="493">
        <f>I89+AD89</f>
        <v>5267032</v>
      </c>
      <c r="AM89" s="492">
        <f>J89+U89</f>
        <v>3907294</v>
      </c>
      <c r="AN89" s="492">
        <f t="shared" si="265"/>
        <v>0</v>
      </c>
      <c r="AO89" s="492">
        <f t="shared" si="266"/>
        <v>1320665</v>
      </c>
      <c r="AP89" s="492">
        <f t="shared" si="266"/>
        <v>39073</v>
      </c>
      <c r="AQ89" s="578">
        <f t="shared" si="266"/>
        <v>0</v>
      </c>
      <c r="AR89" s="491">
        <f t="shared" si="267"/>
        <v>9.58</v>
      </c>
    </row>
    <row r="90" spans="1:44" s="152" customFormat="1" ht="12.75" customHeight="1" x14ac:dyDescent="0.2">
      <c r="A90" s="154">
        <v>24</v>
      </c>
      <c r="B90" s="155">
        <v>3414</v>
      </c>
      <c r="C90" s="155">
        <v>600078388</v>
      </c>
      <c r="D90" s="155">
        <v>43257721</v>
      </c>
      <c r="E90" s="156" t="s">
        <v>50</v>
      </c>
      <c r="F90" s="155">
        <v>3143</v>
      </c>
      <c r="G90" s="156" t="s">
        <v>794</v>
      </c>
      <c r="H90" s="157" t="s">
        <v>262</v>
      </c>
      <c r="I90" s="586">
        <f>SUM(J90:L90)</f>
        <v>4103236</v>
      </c>
      <c r="J90" s="323">
        <v>3043944</v>
      </c>
      <c r="K90" s="431">
        <f t="shared" si="257"/>
        <v>1028853</v>
      </c>
      <c r="L90" s="431">
        <f t="shared" si="268"/>
        <v>30439</v>
      </c>
      <c r="M90" s="431">
        <v>0</v>
      </c>
      <c r="N90" s="784">
        <v>5.54</v>
      </c>
      <c r="O90" s="440">
        <f>V90*-1</f>
        <v>0</v>
      </c>
      <c r="P90" s="325">
        <v>0</v>
      </c>
      <c r="Q90" s="325">
        <v>0</v>
      </c>
      <c r="R90" s="325">
        <v>0</v>
      </c>
      <c r="S90" s="325">
        <v>0</v>
      </c>
      <c r="T90" s="325">
        <v>0</v>
      </c>
      <c r="U90" s="492">
        <f t="shared" si="258"/>
        <v>0</v>
      </c>
      <c r="V90" s="325">
        <v>0</v>
      </c>
      <c r="W90" s="325">
        <v>0</v>
      </c>
      <c r="X90" s="325">
        <v>0</v>
      </c>
      <c r="Y90" s="492">
        <f t="shared" si="259"/>
        <v>0</v>
      </c>
      <c r="Z90" s="492">
        <f t="shared" si="260"/>
        <v>0</v>
      </c>
      <c r="AA90" s="494">
        <f t="shared" si="261"/>
        <v>0</v>
      </c>
      <c r="AB90" s="494">
        <f t="shared" si="262"/>
        <v>0</v>
      </c>
      <c r="AC90" s="492">
        <v>0</v>
      </c>
      <c r="AD90" s="789">
        <f t="shared" si="263"/>
        <v>0</v>
      </c>
      <c r="AE90" s="715">
        <v>0</v>
      </c>
      <c r="AF90" s="326">
        <v>0</v>
      </c>
      <c r="AG90" s="326">
        <v>0</v>
      </c>
      <c r="AH90" s="326">
        <v>0</v>
      </c>
      <c r="AI90" s="326">
        <v>0</v>
      </c>
      <c r="AJ90" s="326">
        <v>0</v>
      </c>
      <c r="AK90" s="626">
        <f t="shared" si="264"/>
        <v>0</v>
      </c>
      <c r="AL90" s="493">
        <f>I90+AD90</f>
        <v>4103236</v>
      </c>
      <c r="AM90" s="492">
        <f>J90+U90</f>
        <v>3043944</v>
      </c>
      <c r="AN90" s="492">
        <f t="shared" si="265"/>
        <v>0</v>
      </c>
      <c r="AO90" s="492">
        <f t="shared" si="266"/>
        <v>1028853</v>
      </c>
      <c r="AP90" s="492">
        <f t="shared" si="266"/>
        <v>30439</v>
      </c>
      <c r="AQ90" s="578">
        <f t="shared" si="266"/>
        <v>0</v>
      </c>
      <c r="AR90" s="491">
        <f t="shared" si="267"/>
        <v>5.54</v>
      </c>
    </row>
    <row r="91" spans="1:44" s="152" customFormat="1" ht="12.75" customHeight="1" x14ac:dyDescent="0.2">
      <c r="A91" s="105">
        <v>24</v>
      </c>
      <c r="B91" s="12">
        <v>3414</v>
      </c>
      <c r="C91" s="104">
        <v>600078388</v>
      </c>
      <c r="D91" s="104">
        <v>43257721</v>
      </c>
      <c r="E91" s="153" t="s">
        <v>51</v>
      </c>
      <c r="F91" s="12"/>
      <c r="G91" s="153"/>
      <c r="H91" s="407"/>
      <c r="I91" s="782">
        <f t="shared" ref="I91:AR91" si="269">SUM(I87:I90)</f>
        <v>41570796</v>
      </c>
      <c r="J91" s="378">
        <f t="shared" si="269"/>
        <v>30838869</v>
      </c>
      <c r="K91" s="378">
        <f t="shared" si="269"/>
        <v>10423538</v>
      </c>
      <c r="L91" s="378">
        <f t="shared" si="269"/>
        <v>308389</v>
      </c>
      <c r="M91" s="378">
        <f t="shared" si="269"/>
        <v>0</v>
      </c>
      <c r="N91" s="340">
        <f t="shared" si="269"/>
        <v>42.99</v>
      </c>
      <c r="O91" s="444">
        <f t="shared" si="269"/>
        <v>-24000</v>
      </c>
      <c r="P91" s="378">
        <f t="shared" si="269"/>
        <v>3907294</v>
      </c>
      <c r="Q91" s="378">
        <f t="shared" si="269"/>
        <v>0</v>
      </c>
      <c r="R91" s="378">
        <f t="shared" si="269"/>
        <v>0</v>
      </c>
      <c r="S91" s="378">
        <f t="shared" si="269"/>
        <v>0</v>
      </c>
      <c r="T91" s="378">
        <f t="shared" si="269"/>
        <v>0</v>
      </c>
      <c r="U91" s="378">
        <f t="shared" si="269"/>
        <v>3883294</v>
      </c>
      <c r="V91" s="378">
        <f t="shared" si="269"/>
        <v>24000</v>
      </c>
      <c r="W91" s="378">
        <f t="shared" si="269"/>
        <v>0</v>
      </c>
      <c r="X91" s="378">
        <f t="shared" si="269"/>
        <v>0</v>
      </c>
      <c r="Y91" s="378">
        <f t="shared" si="269"/>
        <v>24000</v>
      </c>
      <c r="Z91" s="378">
        <f t="shared" si="269"/>
        <v>3907294</v>
      </c>
      <c r="AA91" s="378">
        <f t="shared" si="269"/>
        <v>1320665</v>
      </c>
      <c r="AB91" s="378">
        <f t="shared" si="269"/>
        <v>38833</v>
      </c>
      <c r="AC91" s="378">
        <f t="shared" si="269"/>
        <v>0</v>
      </c>
      <c r="AD91" s="788">
        <f t="shared" si="269"/>
        <v>5266792</v>
      </c>
      <c r="AE91" s="790">
        <f t="shared" si="269"/>
        <v>-0.04</v>
      </c>
      <c r="AF91" s="398">
        <f t="shared" si="269"/>
        <v>9.58</v>
      </c>
      <c r="AG91" s="398">
        <f t="shared" si="269"/>
        <v>0</v>
      </c>
      <c r="AH91" s="398">
        <f t="shared" si="269"/>
        <v>0</v>
      </c>
      <c r="AI91" s="398">
        <f t="shared" si="269"/>
        <v>0</v>
      </c>
      <c r="AJ91" s="398">
        <f t="shared" si="269"/>
        <v>0</v>
      </c>
      <c r="AK91" s="340">
        <f t="shared" si="269"/>
        <v>9.5400000000000009</v>
      </c>
      <c r="AL91" s="444">
        <f t="shared" si="269"/>
        <v>46837588</v>
      </c>
      <c r="AM91" s="378">
        <f t="shared" si="269"/>
        <v>34722163</v>
      </c>
      <c r="AN91" s="378">
        <f t="shared" si="269"/>
        <v>24000</v>
      </c>
      <c r="AO91" s="378">
        <f t="shared" si="269"/>
        <v>11744203</v>
      </c>
      <c r="AP91" s="378">
        <f t="shared" si="269"/>
        <v>347222</v>
      </c>
      <c r="AQ91" s="378">
        <f t="shared" si="269"/>
        <v>0</v>
      </c>
      <c r="AR91" s="398">
        <f t="shared" si="269"/>
        <v>52.53</v>
      </c>
    </row>
    <row r="92" spans="1:44" s="152" customFormat="1" ht="12.75" customHeight="1" x14ac:dyDescent="0.2">
      <c r="A92" s="154">
        <v>25</v>
      </c>
      <c r="B92" s="155">
        <v>3411</v>
      </c>
      <c r="C92" s="155">
        <v>600078400</v>
      </c>
      <c r="D92" s="155">
        <v>72742950</v>
      </c>
      <c r="E92" s="156" t="s">
        <v>52</v>
      </c>
      <c r="F92" s="155">
        <v>3113</v>
      </c>
      <c r="G92" s="156" t="s">
        <v>280</v>
      </c>
      <c r="H92" s="157" t="s">
        <v>262</v>
      </c>
      <c r="I92" s="627">
        <f>SUM(J92:L92)</f>
        <v>36359846</v>
      </c>
      <c r="J92" s="410">
        <v>26973180</v>
      </c>
      <c r="K92" s="431">
        <f>ROUND(J92*33.8%,0)-1</f>
        <v>9116934</v>
      </c>
      <c r="L92" s="431">
        <f t="shared" ref="L92:L95" si="270">ROUND(J92*1%,0)</f>
        <v>269732</v>
      </c>
      <c r="M92" s="431">
        <v>0</v>
      </c>
      <c r="N92" s="783">
        <v>35.590000000000003</v>
      </c>
      <c r="O92" s="445">
        <f>V92*-1</f>
        <v>0</v>
      </c>
      <c r="P92" s="325">
        <v>0</v>
      </c>
      <c r="Q92" s="325">
        <v>55600</v>
      </c>
      <c r="R92" s="325">
        <v>0</v>
      </c>
      <c r="S92" s="325">
        <v>0</v>
      </c>
      <c r="T92" s="325">
        <v>0</v>
      </c>
      <c r="U92" s="492">
        <f t="shared" ref="U92:U95" si="271">O92+P92+Q92+R92+S92+T92</f>
        <v>55600</v>
      </c>
      <c r="V92" s="325">
        <v>0</v>
      </c>
      <c r="W92" s="325">
        <v>0</v>
      </c>
      <c r="X92" s="325">
        <v>0</v>
      </c>
      <c r="Y92" s="492">
        <f t="shared" ref="Y92:Y95" si="272">V92+W92+X92</f>
        <v>0</v>
      </c>
      <c r="Z92" s="492">
        <f t="shared" ref="Z92:Z95" si="273">U92+Y92</f>
        <v>55600</v>
      </c>
      <c r="AA92" s="494">
        <f t="shared" ref="AA92:AA95" si="274">ROUND((U92+Y92)*33.8%,0)</f>
        <v>18793</v>
      </c>
      <c r="AB92" s="494">
        <f t="shared" ref="AB92:AB95" si="275">ROUND(U92*1%,0)</f>
        <v>556</v>
      </c>
      <c r="AC92" s="492">
        <v>0</v>
      </c>
      <c r="AD92" s="789">
        <f t="shared" ref="AD92:AD95" si="276">Z92+AA92+AB92+AC92</f>
        <v>74949</v>
      </c>
      <c r="AE92" s="715">
        <v>0</v>
      </c>
      <c r="AF92" s="326">
        <v>0</v>
      </c>
      <c r="AG92" s="326">
        <v>0</v>
      </c>
      <c r="AH92" s="326">
        <v>0.08</v>
      </c>
      <c r="AI92" s="326">
        <v>0</v>
      </c>
      <c r="AJ92" s="326">
        <v>0</v>
      </c>
      <c r="AK92" s="626">
        <f t="shared" ref="AK92:AK95" si="277">SUM(AE92:AJ92)</f>
        <v>0.08</v>
      </c>
      <c r="AL92" s="493">
        <f>I92+AD92</f>
        <v>36434795</v>
      </c>
      <c r="AM92" s="492">
        <f>J92+U92</f>
        <v>27028780</v>
      </c>
      <c r="AN92" s="492">
        <f t="shared" ref="AN92:AN95" si="278">Y92</f>
        <v>0</v>
      </c>
      <c r="AO92" s="492">
        <f t="shared" ref="AO92:AQ95" si="279">K92+AA92</f>
        <v>9135727</v>
      </c>
      <c r="AP92" s="492">
        <f t="shared" si="279"/>
        <v>270288</v>
      </c>
      <c r="AQ92" s="578">
        <f t="shared" si="279"/>
        <v>0</v>
      </c>
      <c r="AR92" s="491">
        <f t="shared" ref="AR92:AR95" si="280">N92+AK92</f>
        <v>35.67</v>
      </c>
    </row>
    <row r="93" spans="1:44" s="152" customFormat="1" ht="12.75" customHeight="1" x14ac:dyDescent="0.2">
      <c r="A93" s="154">
        <v>25</v>
      </c>
      <c r="B93" s="155">
        <v>3411</v>
      </c>
      <c r="C93" s="155">
        <v>600078400</v>
      </c>
      <c r="D93" s="155">
        <v>72742950</v>
      </c>
      <c r="E93" s="156" t="s">
        <v>52</v>
      </c>
      <c r="F93" s="155">
        <v>3113</v>
      </c>
      <c r="G93" s="156" t="s">
        <v>799</v>
      </c>
      <c r="H93" s="157" t="s">
        <v>262</v>
      </c>
      <c r="I93" s="627">
        <f>SUM(J93:L93)</f>
        <v>765918</v>
      </c>
      <c r="J93" s="410">
        <v>568188</v>
      </c>
      <c r="K93" s="431">
        <f t="shared" ref="K93:K95" si="281">ROUND(J93*33.8%,0)</f>
        <v>192048</v>
      </c>
      <c r="L93" s="431">
        <f t="shared" si="270"/>
        <v>5682</v>
      </c>
      <c r="M93" s="431">
        <v>0</v>
      </c>
      <c r="N93" s="783">
        <v>1</v>
      </c>
      <c r="O93" s="445">
        <f>V93*-1</f>
        <v>0</v>
      </c>
      <c r="P93" s="325">
        <v>0</v>
      </c>
      <c r="Q93" s="325">
        <v>0</v>
      </c>
      <c r="R93" s="325">
        <v>0</v>
      </c>
      <c r="S93" s="325">
        <v>0</v>
      </c>
      <c r="T93" s="325">
        <v>0</v>
      </c>
      <c r="U93" s="492">
        <f t="shared" si="271"/>
        <v>0</v>
      </c>
      <c r="V93" s="325">
        <v>0</v>
      </c>
      <c r="W93" s="325">
        <v>0</v>
      </c>
      <c r="X93" s="325">
        <v>0</v>
      </c>
      <c r="Y93" s="492">
        <f t="shared" si="272"/>
        <v>0</v>
      </c>
      <c r="Z93" s="492">
        <f t="shared" si="273"/>
        <v>0</v>
      </c>
      <c r="AA93" s="494">
        <f t="shared" si="274"/>
        <v>0</v>
      </c>
      <c r="AB93" s="494">
        <f t="shared" si="275"/>
        <v>0</v>
      </c>
      <c r="AC93" s="492">
        <v>0</v>
      </c>
      <c r="AD93" s="789">
        <f t="shared" si="276"/>
        <v>0</v>
      </c>
      <c r="AE93" s="715">
        <v>0</v>
      </c>
      <c r="AF93" s="326">
        <v>0</v>
      </c>
      <c r="AG93" s="326">
        <v>0</v>
      </c>
      <c r="AH93" s="326">
        <v>0</v>
      </c>
      <c r="AI93" s="326">
        <v>0</v>
      </c>
      <c r="AJ93" s="326">
        <v>0</v>
      </c>
      <c r="AK93" s="626">
        <f t="shared" si="277"/>
        <v>0</v>
      </c>
      <c r="AL93" s="493">
        <f>I93+AD93</f>
        <v>765918</v>
      </c>
      <c r="AM93" s="492">
        <f>J93+U93</f>
        <v>568188</v>
      </c>
      <c r="AN93" s="492">
        <f t="shared" si="278"/>
        <v>0</v>
      </c>
      <c r="AO93" s="492">
        <f t="shared" si="279"/>
        <v>192048</v>
      </c>
      <c r="AP93" s="492">
        <f t="shared" si="279"/>
        <v>5682</v>
      </c>
      <c r="AQ93" s="578">
        <f t="shared" si="279"/>
        <v>0</v>
      </c>
      <c r="AR93" s="491">
        <f t="shared" si="280"/>
        <v>1</v>
      </c>
    </row>
    <row r="94" spans="1:44" s="152" customFormat="1" x14ac:dyDescent="0.2">
      <c r="A94" s="154">
        <v>25</v>
      </c>
      <c r="B94" s="155">
        <v>3411</v>
      </c>
      <c r="C94" s="155">
        <v>600078400</v>
      </c>
      <c r="D94" s="155">
        <v>72742950</v>
      </c>
      <c r="E94" s="156" t="s">
        <v>52</v>
      </c>
      <c r="F94" s="155">
        <v>3113</v>
      </c>
      <c r="G94" s="156" t="s">
        <v>278</v>
      </c>
      <c r="H94" s="157" t="s">
        <v>263</v>
      </c>
      <c r="I94" s="586">
        <f>SUM(J94:L94)</f>
        <v>0</v>
      </c>
      <c r="J94" s="323"/>
      <c r="K94" s="431">
        <f t="shared" si="281"/>
        <v>0</v>
      </c>
      <c r="L94" s="431">
        <f t="shared" si="270"/>
        <v>0</v>
      </c>
      <c r="M94" s="431">
        <v>0</v>
      </c>
      <c r="N94" s="784">
        <v>0</v>
      </c>
      <c r="O94" s="440">
        <f>V94*-1</f>
        <v>0</v>
      </c>
      <c r="P94" s="325">
        <f>4963929+272833</f>
        <v>5236762</v>
      </c>
      <c r="Q94" s="325">
        <v>0</v>
      </c>
      <c r="R94" s="325">
        <v>0</v>
      </c>
      <c r="S94" s="325">
        <v>0</v>
      </c>
      <c r="T94" s="325">
        <v>0</v>
      </c>
      <c r="U94" s="492">
        <f t="shared" si="271"/>
        <v>5236762</v>
      </c>
      <c r="V94" s="325">
        <v>0</v>
      </c>
      <c r="W94" s="325">
        <v>0</v>
      </c>
      <c r="X94" s="325">
        <v>0</v>
      </c>
      <c r="Y94" s="492">
        <f t="shared" si="272"/>
        <v>0</v>
      </c>
      <c r="Z94" s="492">
        <f t="shared" si="273"/>
        <v>5236762</v>
      </c>
      <c r="AA94" s="494">
        <f t="shared" si="274"/>
        <v>1770026</v>
      </c>
      <c r="AB94" s="494">
        <f t="shared" si="275"/>
        <v>52368</v>
      </c>
      <c r="AC94" s="492">
        <v>0</v>
      </c>
      <c r="AD94" s="789">
        <f t="shared" si="276"/>
        <v>7059156</v>
      </c>
      <c r="AE94" s="715">
        <v>0</v>
      </c>
      <c r="AF94" s="326">
        <f>11.96+0.69</f>
        <v>12.65</v>
      </c>
      <c r="AG94" s="326">
        <v>0</v>
      </c>
      <c r="AH94" s="326">
        <v>0</v>
      </c>
      <c r="AI94" s="326">
        <v>0</v>
      </c>
      <c r="AJ94" s="326">
        <v>0</v>
      </c>
      <c r="AK94" s="626">
        <f t="shared" si="277"/>
        <v>12.65</v>
      </c>
      <c r="AL94" s="493">
        <f>I94+AD94</f>
        <v>7059156</v>
      </c>
      <c r="AM94" s="492">
        <f>J94+U94</f>
        <v>5236762</v>
      </c>
      <c r="AN94" s="492">
        <f t="shared" si="278"/>
        <v>0</v>
      </c>
      <c r="AO94" s="492">
        <f t="shared" si="279"/>
        <v>1770026</v>
      </c>
      <c r="AP94" s="492">
        <f t="shared" si="279"/>
        <v>52368</v>
      </c>
      <c r="AQ94" s="578">
        <f t="shared" si="279"/>
        <v>0</v>
      </c>
      <c r="AR94" s="491">
        <f t="shared" si="280"/>
        <v>12.65</v>
      </c>
    </row>
    <row r="95" spans="1:44" s="152" customFormat="1" ht="12.75" customHeight="1" x14ac:dyDescent="0.2">
      <c r="A95" s="154">
        <v>25</v>
      </c>
      <c r="B95" s="155">
        <v>3411</v>
      </c>
      <c r="C95" s="155">
        <v>600078400</v>
      </c>
      <c r="D95" s="155">
        <v>72742950</v>
      </c>
      <c r="E95" s="156" t="s">
        <v>52</v>
      </c>
      <c r="F95" s="155">
        <v>3143</v>
      </c>
      <c r="G95" s="156" t="s">
        <v>794</v>
      </c>
      <c r="H95" s="157" t="s">
        <v>262</v>
      </c>
      <c r="I95" s="586">
        <f>SUM(J95:L95)</f>
        <v>4245007</v>
      </c>
      <c r="J95" s="323">
        <v>3149115</v>
      </c>
      <c r="K95" s="431">
        <f t="shared" si="281"/>
        <v>1064401</v>
      </c>
      <c r="L95" s="431">
        <f t="shared" si="270"/>
        <v>31491</v>
      </c>
      <c r="M95" s="431">
        <v>0</v>
      </c>
      <c r="N95" s="784">
        <v>6</v>
      </c>
      <c r="O95" s="440">
        <f>V95*-1</f>
        <v>0</v>
      </c>
      <c r="P95" s="325">
        <v>0</v>
      </c>
      <c r="Q95" s="325">
        <v>0</v>
      </c>
      <c r="R95" s="325">
        <v>0</v>
      </c>
      <c r="S95" s="325">
        <v>0</v>
      </c>
      <c r="T95" s="325">
        <v>0</v>
      </c>
      <c r="U95" s="492">
        <f t="shared" si="271"/>
        <v>0</v>
      </c>
      <c r="V95" s="325">
        <v>0</v>
      </c>
      <c r="W95" s="325">
        <v>0</v>
      </c>
      <c r="X95" s="325">
        <v>0</v>
      </c>
      <c r="Y95" s="492">
        <f t="shared" si="272"/>
        <v>0</v>
      </c>
      <c r="Z95" s="492">
        <f t="shared" si="273"/>
        <v>0</v>
      </c>
      <c r="AA95" s="494">
        <f t="shared" si="274"/>
        <v>0</v>
      </c>
      <c r="AB95" s="494">
        <f t="shared" si="275"/>
        <v>0</v>
      </c>
      <c r="AC95" s="492">
        <v>0</v>
      </c>
      <c r="AD95" s="789">
        <f t="shared" si="276"/>
        <v>0</v>
      </c>
      <c r="AE95" s="715">
        <v>0</v>
      </c>
      <c r="AF95" s="326">
        <v>0</v>
      </c>
      <c r="AG95" s="326">
        <v>0</v>
      </c>
      <c r="AH95" s="326">
        <v>0</v>
      </c>
      <c r="AI95" s="326">
        <v>0</v>
      </c>
      <c r="AJ95" s="326">
        <v>0</v>
      </c>
      <c r="AK95" s="626">
        <f t="shared" si="277"/>
        <v>0</v>
      </c>
      <c r="AL95" s="493">
        <f>I95+AD95</f>
        <v>4245007</v>
      </c>
      <c r="AM95" s="492">
        <f>J95+U95</f>
        <v>3149115</v>
      </c>
      <c r="AN95" s="492">
        <f t="shared" si="278"/>
        <v>0</v>
      </c>
      <c r="AO95" s="492">
        <f t="shared" si="279"/>
        <v>1064401</v>
      </c>
      <c r="AP95" s="492">
        <f t="shared" si="279"/>
        <v>31491</v>
      </c>
      <c r="AQ95" s="578">
        <f t="shared" si="279"/>
        <v>0</v>
      </c>
      <c r="AR95" s="491">
        <f t="shared" si="280"/>
        <v>6</v>
      </c>
    </row>
    <row r="96" spans="1:44" s="152" customFormat="1" ht="12.75" customHeight="1" x14ac:dyDescent="0.2">
      <c r="A96" s="105">
        <v>25</v>
      </c>
      <c r="B96" s="12">
        <v>3411</v>
      </c>
      <c r="C96" s="104">
        <v>600078400</v>
      </c>
      <c r="D96" s="104">
        <v>72742950</v>
      </c>
      <c r="E96" s="153" t="s">
        <v>53</v>
      </c>
      <c r="F96" s="12"/>
      <c r="G96" s="153"/>
      <c r="H96" s="407"/>
      <c r="I96" s="782">
        <f t="shared" ref="I96:AR96" si="282">SUM(I92:I95)</f>
        <v>41370771</v>
      </c>
      <c r="J96" s="378">
        <f t="shared" si="282"/>
        <v>30690483</v>
      </c>
      <c r="K96" s="378">
        <f t="shared" si="282"/>
        <v>10373383</v>
      </c>
      <c r="L96" s="378">
        <f t="shared" si="282"/>
        <v>306905</v>
      </c>
      <c r="M96" s="378">
        <f t="shared" si="282"/>
        <v>0</v>
      </c>
      <c r="N96" s="340">
        <f t="shared" si="282"/>
        <v>42.59</v>
      </c>
      <c r="O96" s="444">
        <f t="shared" si="282"/>
        <v>0</v>
      </c>
      <c r="P96" s="378">
        <f t="shared" si="282"/>
        <v>5236762</v>
      </c>
      <c r="Q96" s="378">
        <f t="shared" si="282"/>
        <v>55600</v>
      </c>
      <c r="R96" s="378">
        <f t="shared" si="282"/>
        <v>0</v>
      </c>
      <c r="S96" s="378">
        <f t="shared" si="282"/>
        <v>0</v>
      </c>
      <c r="T96" s="378">
        <f t="shared" si="282"/>
        <v>0</v>
      </c>
      <c r="U96" s="378">
        <f t="shared" si="282"/>
        <v>5292362</v>
      </c>
      <c r="V96" s="378">
        <f t="shared" si="282"/>
        <v>0</v>
      </c>
      <c r="W96" s="378">
        <f t="shared" si="282"/>
        <v>0</v>
      </c>
      <c r="X96" s="378">
        <f t="shared" si="282"/>
        <v>0</v>
      </c>
      <c r="Y96" s="378">
        <f t="shared" si="282"/>
        <v>0</v>
      </c>
      <c r="Z96" s="378">
        <f t="shared" si="282"/>
        <v>5292362</v>
      </c>
      <c r="AA96" s="378">
        <f t="shared" si="282"/>
        <v>1788819</v>
      </c>
      <c r="AB96" s="378">
        <f t="shared" si="282"/>
        <v>52924</v>
      </c>
      <c r="AC96" s="378">
        <f t="shared" si="282"/>
        <v>0</v>
      </c>
      <c r="AD96" s="788">
        <f t="shared" si="282"/>
        <v>7134105</v>
      </c>
      <c r="AE96" s="790">
        <f t="shared" si="282"/>
        <v>0</v>
      </c>
      <c r="AF96" s="398">
        <f t="shared" si="282"/>
        <v>12.65</v>
      </c>
      <c r="AG96" s="398">
        <f t="shared" si="282"/>
        <v>0</v>
      </c>
      <c r="AH96" s="398">
        <f t="shared" si="282"/>
        <v>0.08</v>
      </c>
      <c r="AI96" s="398">
        <f t="shared" si="282"/>
        <v>0</v>
      </c>
      <c r="AJ96" s="398">
        <f t="shared" si="282"/>
        <v>0</v>
      </c>
      <c r="AK96" s="340">
        <f t="shared" si="282"/>
        <v>12.73</v>
      </c>
      <c r="AL96" s="444">
        <f t="shared" si="282"/>
        <v>48504876</v>
      </c>
      <c r="AM96" s="378">
        <f t="shared" si="282"/>
        <v>35982845</v>
      </c>
      <c r="AN96" s="378">
        <f t="shared" si="282"/>
        <v>0</v>
      </c>
      <c r="AO96" s="378">
        <f t="shared" si="282"/>
        <v>12162202</v>
      </c>
      <c r="AP96" s="378">
        <f t="shared" si="282"/>
        <v>359829</v>
      </c>
      <c r="AQ96" s="378">
        <f t="shared" si="282"/>
        <v>0</v>
      </c>
      <c r="AR96" s="398">
        <f t="shared" si="282"/>
        <v>55.32</v>
      </c>
    </row>
    <row r="97" spans="1:44" s="152" customFormat="1" ht="12.75" customHeight="1" x14ac:dyDescent="0.2">
      <c r="A97" s="154">
        <v>26</v>
      </c>
      <c r="B97" s="155">
        <v>3408</v>
      </c>
      <c r="C97" s="155">
        <v>600078566</v>
      </c>
      <c r="D97" s="155">
        <v>72743115</v>
      </c>
      <c r="E97" s="156" t="s">
        <v>54</v>
      </c>
      <c r="F97" s="155">
        <v>3113</v>
      </c>
      <c r="G97" s="156" t="s">
        <v>280</v>
      </c>
      <c r="H97" s="157" t="s">
        <v>262</v>
      </c>
      <c r="I97" s="627">
        <f>SUM(J97:L97)</f>
        <v>19065244</v>
      </c>
      <c r="J97" s="410">
        <v>14143356</v>
      </c>
      <c r="K97" s="431">
        <f>ROUND(J97*33.8%,0)+1</f>
        <v>4780455</v>
      </c>
      <c r="L97" s="431">
        <f>ROUND(J97*1%,0)-1</f>
        <v>141433</v>
      </c>
      <c r="M97" s="431">
        <v>0</v>
      </c>
      <c r="N97" s="783">
        <v>18.87</v>
      </c>
      <c r="O97" s="445">
        <f>V97*-1</f>
        <v>0</v>
      </c>
      <c r="P97" s="325">
        <v>0</v>
      </c>
      <c r="Q97" s="325">
        <v>48650</v>
      </c>
      <c r="R97" s="325">
        <v>0</v>
      </c>
      <c r="S97" s="325">
        <v>0</v>
      </c>
      <c r="T97" s="325">
        <v>0</v>
      </c>
      <c r="U97" s="492">
        <f t="shared" ref="U97:U100" si="283">O97+P97+Q97+R97+S97+T97</f>
        <v>48650</v>
      </c>
      <c r="V97" s="325">
        <v>0</v>
      </c>
      <c r="W97" s="325">
        <v>0</v>
      </c>
      <c r="X97" s="325">
        <v>0</v>
      </c>
      <c r="Y97" s="492">
        <f t="shared" ref="Y97:Y100" si="284">V97+W97+X97</f>
        <v>0</v>
      </c>
      <c r="Z97" s="492">
        <f t="shared" ref="Z97:Z100" si="285">U97+Y97</f>
        <v>48650</v>
      </c>
      <c r="AA97" s="494">
        <f t="shared" ref="AA97:AA100" si="286">ROUND((U97+Y97)*33.8%,0)</f>
        <v>16444</v>
      </c>
      <c r="AB97" s="494">
        <f t="shared" ref="AB97:AB100" si="287">ROUND(U97*1%,0)</f>
        <v>487</v>
      </c>
      <c r="AC97" s="492">
        <v>0</v>
      </c>
      <c r="AD97" s="789">
        <f t="shared" ref="AD97:AD100" si="288">Z97+AA97+AB97+AC97</f>
        <v>65581</v>
      </c>
      <c r="AE97" s="715">
        <v>0</v>
      </c>
      <c r="AF97" s="326">
        <v>0</v>
      </c>
      <c r="AG97" s="326">
        <v>0</v>
      </c>
      <c r="AH97" s="326">
        <v>7.0000000000000007E-2</v>
      </c>
      <c r="AI97" s="326">
        <v>0</v>
      </c>
      <c r="AJ97" s="326">
        <v>0</v>
      </c>
      <c r="AK97" s="626">
        <f t="shared" ref="AK97:AK100" si="289">SUM(AE97:AJ97)</f>
        <v>7.0000000000000007E-2</v>
      </c>
      <c r="AL97" s="493">
        <f>I97+AD97</f>
        <v>19130825</v>
      </c>
      <c r="AM97" s="492">
        <f>J97+U97</f>
        <v>14192006</v>
      </c>
      <c r="AN97" s="492">
        <f t="shared" ref="AN97:AN100" si="290">Y97</f>
        <v>0</v>
      </c>
      <c r="AO97" s="492">
        <f t="shared" ref="AO97:AQ100" si="291">K97+AA97</f>
        <v>4796899</v>
      </c>
      <c r="AP97" s="492">
        <f t="shared" si="291"/>
        <v>141920</v>
      </c>
      <c r="AQ97" s="578">
        <f t="shared" si="291"/>
        <v>0</v>
      </c>
      <c r="AR97" s="491">
        <f t="shared" ref="AR97:AR100" si="292">N97+AK97</f>
        <v>18.940000000000001</v>
      </c>
    </row>
    <row r="98" spans="1:44" s="152" customFormat="1" ht="12.75" customHeight="1" x14ac:dyDescent="0.2">
      <c r="A98" s="154">
        <v>26</v>
      </c>
      <c r="B98" s="155">
        <v>3408</v>
      </c>
      <c r="C98" s="155">
        <v>600078566</v>
      </c>
      <c r="D98" s="155">
        <v>72743115</v>
      </c>
      <c r="E98" s="156" t="s">
        <v>54</v>
      </c>
      <c r="F98" s="155">
        <v>3113</v>
      </c>
      <c r="G98" s="156" t="s">
        <v>799</v>
      </c>
      <c r="H98" s="157" t="s">
        <v>262</v>
      </c>
      <c r="I98" s="627">
        <f>SUM(J98:L98)</f>
        <v>327394</v>
      </c>
      <c r="J98" s="410">
        <v>242874</v>
      </c>
      <c r="K98" s="431">
        <f t="shared" ref="K98:K100" si="293">ROUND(J98*33.8%,0)</f>
        <v>82091</v>
      </c>
      <c r="L98" s="431">
        <f t="shared" ref="L98:L100" si="294">ROUND(J98*1%,0)</f>
        <v>2429</v>
      </c>
      <c r="M98" s="431">
        <v>0</v>
      </c>
      <c r="N98" s="783">
        <v>0.5</v>
      </c>
      <c r="O98" s="445">
        <f>V98*-1</f>
        <v>0</v>
      </c>
      <c r="P98" s="325">
        <v>0</v>
      </c>
      <c r="Q98" s="325">
        <v>0</v>
      </c>
      <c r="R98" s="325">
        <v>0</v>
      </c>
      <c r="S98" s="325">
        <v>0</v>
      </c>
      <c r="T98" s="325">
        <v>0</v>
      </c>
      <c r="U98" s="492">
        <f t="shared" si="283"/>
        <v>0</v>
      </c>
      <c r="V98" s="325">
        <v>0</v>
      </c>
      <c r="W98" s="325">
        <v>0</v>
      </c>
      <c r="X98" s="325">
        <v>0</v>
      </c>
      <c r="Y98" s="492">
        <f t="shared" si="284"/>
        <v>0</v>
      </c>
      <c r="Z98" s="492">
        <f t="shared" si="285"/>
        <v>0</v>
      </c>
      <c r="AA98" s="494">
        <f t="shared" si="286"/>
        <v>0</v>
      </c>
      <c r="AB98" s="494">
        <f t="shared" si="287"/>
        <v>0</v>
      </c>
      <c r="AC98" s="492">
        <v>0</v>
      </c>
      <c r="AD98" s="789">
        <f t="shared" si="288"/>
        <v>0</v>
      </c>
      <c r="AE98" s="715">
        <v>0</v>
      </c>
      <c r="AF98" s="326">
        <v>0</v>
      </c>
      <c r="AG98" s="326">
        <v>0</v>
      </c>
      <c r="AH98" s="326">
        <v>0</v>
      </c>
      <c r="AI98" s="326">
        <v>0</v>
      </c>
      <c r="AJ98" s="326">
        <v>0</v>
      </c>
      <c r="AK98" s="626">
        <f t="shared" si="289"/>
        <v>0</v>
      </c>
      <c r="AL98" s="493">
        <f>I98+AD98</f>
        <v>327394</v>
      </c>
      <c r="AM98" s="492">
        <f>J98+U98</f>
        <v>242874</v>
      </c>
      <c r="AN98" s="492">
        <f t="shared" si="290"/>
        <v>0</v>
      </c>
      <c r="AO98" s="492">
        <f t="shared" si="291"/>
        <v>82091</v>
      </c>
      <c r="AP98" s="492">
        <f t="shared" si="291"/>
        <v>2429</v>
      </c>
      <c r="AQ98" s="578">
        <f t="shared" si="291"/>
        <v>0</v>
      </c>
      <c r="AR98" s="491">
        <f t="shared" si="292"/>
        <v>0.5</v>
      </c>
    </row>
    <row r="99" spans="1:44" s="152" customFormat="1" x14ac:dyDescent="0.2">
      <c r="A99" s="154">
        <v>26</v>
      </c>
      <c r="B99" s="155">
        <v>3408</v>
      </c>
      <c r="C99" s="155">
        <v>600078566</v>
      </c>
      <c r="D99" s="155">
        <v>72743115</v>
      </c>
      <c r="E99" s="156" t="s">
        <v>54</v>
      </c>
      <c r="F99" s="155">
        <v>3113</v>
      </c>
      <c r="G99" s="156" t="s">
        <v>278</v>
      </c>
      <c r="H99" s="157" t="s">
        <v>263</v>
      </c>
      <c r="I99" s="586">
        <f>SUM(J99:L99)</f>
        <v>0</v>
      </c>
      <c r="J99" s="323"/>
      <c r="K99" s="431">
        <f t="shared" si="293"/>
        <v>0</v>
      </c>
      <c r="L99" s="431">
        <f t="shared" si="294"/>
        <v>0</v>
      </c>
      <c r="M99" s="431">
        <v>0</v>
      </c>
      <c r="N99" s="784">
        <v>0</v>
      </c>
      <c r="O99" s="440">
        <f>V99*-1</f>
        <v>0</v>
      </c>
      <c r="P99" s="325">
        <f>2687692-286502</f>
        <v>2401190</v>
      </c>
      <c r="Q99" s="325">
        <v>0</v>
      </c>
      <c r="R99" s="325">
        <v>0</v>
      </c>
      <c r="S99" s="325">
        <v>0</v>
      </c>
      <c r="T99" s="325">
        <v>0</v>
      </c>
      <c r="U99" s="492">
        <f t="shared" si="283"/>
        <v>2401190</v>
      </c>
      <c r="V99" s="325">
        <v>0</v>
      </c>
      <c r="W99" s="325">
        <v>0</v>
      </c>
      <c r="X99" s="325">
        <v>0</v>
      </c>
      <c r="Y99" s="492">
        <f t="shared" si="284"/>
        <v>0</v>
      </c>
      <c r="Z99" s="492">
        <f t="shared" si="285"/>
        <v>2401190</v>
      </c>
      <c r="AA99" s="494">
        <f t="shared" si="286"/>
        <v>811602</v>
      </c>
      <c r="AB99" s="494">
        <f t="shared" si="287"/>
        <v>24012</v>
      </c>
      <c r="AC99" s="492">
        <v>0</v>
      </c>
      <c r="AD99" s="789">
        <f t="shared" si="288"/>
        <v>3236804</v>
      </c>
      <c r="AE99" s="715">
        <v>0</v>
      </c>
      <c r="AF99" s="326">
        <f>6.44-0.5</f>
        <v>5.94</v>
      </c>
      <c r="AG99" s="326">
        <v>0</v>
      </c>
      <c r="AH99" s="326">
        <v>0</v>
      </c>
      <c r="AI99" s="326">
        <v>0</v>
      </c>
      <c r="AJ99" s="326">
        <v>0</v>
      </c>
      <c r="AK99" s="626">
        <f t="shared" si="289"/>
        <v>5.94</v>
      </c>
      <c r="AL99" s="493">
        <f>I99+AD99</f>
        <v>3236804</v>
      </c>
      <c r="AM99" s="492">
        <f>J99+U99</f>
        <v>2401190</v>
      </c>
      <c r="AN99" s="492">
        <f t="shared" si="290"/>
        <v>0</v>
      </c>
      <c r="AO99" s="492">
        <f t="shared" si="291"/>
        <v>811602</v>
      </c>
      <c r="AP99" s="492">
        <f t="shared" si="291"/>
        <v>24012</v>
      </c>
      <c r="AQ99" s="578">
        <f t="shared" si="291"/>
        <v>0</v>
      </c>
      <c r="AR99" s="491">
        <f t="shared" si="292"/>
        <v>5.94</v>
      </c>
    </row>
    <row r="100" spans="1:44" s="152" customFormat="1" ht="12.75" customHeight="1" x14ac:dyDescent="0.2">
      <c r="A100" s="154">
        <v>26</v>
      </c>
      <c r="B100" s="155">
        <v>3408</v>
      </c>
      <c r="C100" s="155">
        <v>600078566</v>
      </c>
      <c r="D100" s="155">
        <v>72743115</v>
      </c>
      <c r="E100" s="156" t="s">
        <v>54</v>
      </c>
      <c r="F100" s="155">
        <v>3143</v>
      </c>
      <c r="G100" s="156" t="s">
        <v>794</v>
      </c>
      <c r="H100" s="157" t="s">
        <v>262</v>
      </c>
      <c r="I100" s="586">
        <f>SUM(J100:L100)</f>
        <v>1961204</v>
      </c>
      <c r="J100" s="323">
        <v>1454899</v>
      </c>
      <c r="K100" s="431">
        <f t="shared" si="293"/>
        <v>491756</v>
      </c>
      <c r="L100" s="431">
        <f t="shared" si="294"/>
        <v>14549</v>
      </c>
      <c r="M100" s="431">
        <v>0</v>
      </c>
      <c r="N100" s="784">
        <v>2.64</v>
      </c>
      <c r="O100" s="440">
        <f>V100*-1</f>
        <v>0</v>
      </c>
      <c r="P100" s="325">
        <v>0</v>
      </c>
      <c r="Q100" s="325">
        <v>0</v>
      </c>
      <c r="R100" s="325">
        <v>0</v>
      </c>
      <c r="S100" s="325">
        <v>0</v>
      </c>
      <c r="T100" s="325">
        <v>0</v>
      </c>
      <c r="U100" s="492">
        <f t="shared" si="283"/>
        <v>0</v>
      </c>
      <c r="V100" s="325">
        <v>0</v>
      </c>
      <c r="W100" s="325">
        <v>0</v>
      </c>
      <c r="X100" s="325">
        <v>0</v>
      </c>
      <c r="Y100" s="492">
        <f t="shared" si="284"/>
        <v>0</v>
      </c>
      <c r="Z100" s="492">
        <f t="shared" si="285"/>
        <v>0</v>
      </c>
      <c r="AA100" s="494">
        <f t="shared" si="286"/>
        <v>0</v>
      </c>
      <c r="AB100" s="494">
        <f t="shared" si="287"/>
        <v>0</v>
      </c>
      <c r="AC100" s="492">
        <v>0</v>
      </c>
      <c r="AD100" s="789">
        <f t="shared" si="288"/>
        <v>0</v>
      </c>
      <c r="AE100" s="715">
        <v>0</v>
      </c>
      <c r="AF100" s="326">
        <v>0</v>
      </c>
      <c r="AG100" s="326">
        <v>0</v>
      </c>
      <c r="AH100" s="326">
        <v>0</v>
      </c>
      <c r="AI100" s="326">
        <v>0</v>
      </c>
      <c r="AJ100" s="326">
        <v>0</v>
      </c>
      <c r="AK100" s="626">
        <f t="shared" si="289"/>
        <v>0</v>
      </c>
      <c r="AL100" s="493">
        <f>I100+AD100</f>
        <v>1961204</v>
      </c>
      <c r="AM100" s="492">
        <f>J100+U100</f>
        <v>1454899</v>
      </c>
      <c r="AN100" s="492">
        <f t="shared" si="290"/>
        <v>0</v>
      </c>
      <c r="AO100" s="492">
        <f t="shared" si="291"/>
        <v>491756</v>
      </c>
      <c r="AP100" s="492">
        <f t="shared" si="291"/>
        <v>14549</v>
      </c>
      <c r="AQ100" s="578">
        <f t="shared" si="291"/>
        <v>0</v>
      </c>
      <c r="AR100" s="491">
        <f t="shared" si="292"/>
        <v>2.64</v>
      </c>
    </row>
    <row r="101" spans="1:44" s="152" customFormat="1" ht="12.75" customHeight="1" x14ac:dyDescent="0.2">
      <c r="A101" s="105">
        <v>26</v>
      </c>
      <c r="B101" s="12">
        <v>3408</v>
      </c>
      <c r="C101" s="104">
        <v>600078566</v>
      </c>
      <c r="D101" s="104">
        <v>72743115</v>
      </c>
      <c r="E101" s="153" t="s">
        <v>55</v>
      </c>
      <c r="F101" s="12"/>
      <c r="G101" s="153"/>
      <c r="H101" s="407"/>
      <c r="I101" s="782">
        <f t="shared" ref="I101:AR101" si="295">SUM(I97:I100)</f>
        <v>21353842</v>
      </c>
      <c r="J101" s="378">
        <f t="shared" si="295"/>
        <v>15841129</v>
      </c>
      <c r="K101" s="378">
        <f t="shared" si="295"/>
        <v>5354302</v>
      </c>
      <c r="L101" s="378">
        <f t="shared" si="295"/>
        <v>158411</v>
      </c>
      <c r="M101" s="378">
        <f t="shared" si="295"/>
        <v>0</v>
      </c>
      <c r="N101" s="340">
        <f t="shared" si="295"/>
        <v>22.01</v>
      </c>
      <c r="O101" s="444">
        <f t="shared" si="295"/>
        <v>0</v>
      </c>
      <c r="P101" s="378">
        <f t="shared" si="295"/>
        <v>2401190</v>
      </c>
      <c r="Q101" s="378">
        <f t="shared" si="295"/>
        <v>48650</v>
      </c>
      <c r="R101" s="378">
        <f t="shared" si="295"/>
        <v>0</v>
      </c>
      <c r="S101" s="378">
        <f t="shared" si="295"/>
        <v>0</v>
      </c>
      <c r="T101" s="378">
        <f t="shared" si="295"/>
        <v>0</v>
      </c>
      <c r="U101" s="378">
        <f t="shared" si="295"/>
        <v>2449840</v>
      </c>
      <c r="V101" s="378">
        <f t="shared" si="295"/>
        <v>0</v>
      </c>
      <c r="W101" s="378">
        <f t="shared" si="295"/>
        <v>0</v>
      </c>
      <c r="X101" s="378">
        <f t="shared" si="295"/>
        <v>0</v>
      </c>
      <c r="Y101" s="378">
        <f t="shared" si="295"/>
        <v>0</v>
      </c>
      <c r="Z101" s="378">
        <f t="shared" si="295"/>
        <v>2449840</v>
      </c>
      <c r="AA101" s="378">
        <f t="shared" si="295"/>
        <v>828046</v>
      </c>
      <c r="AB101" s="378">
        <f t="shared" si="295"/>
        <v>24499</v>
      </c>
      <c r="AC101" s="378">
        <f t="shared" si="295"/>
        <v>0</v>
      </c>
      <c r="AD101" s="788">
        <f t="shared" si="295"/>
        <v>3302385</v>
      </c>
      <c r="AE101" s="790">
        <f t="shared" si="295"/>
        <v>0</v>
      </c>
      <c r="AF101" s="398">
        <f t="shared" si="295"/>
        <v>5.94</v>
      </c>
      <c r="AG101" s="398">
        <f t="shared" si="295"/>
        <v>0</v>
      </c>
      <c r="AH101" s="398">
        <f t="shared" si="295"/>
        <v>7.0000000000000007E-2</v>
      </c>
      <c r="AI101" s="398">
        <f t="shared" si="295"/>
        <v>0</v>
      </c>
      <c r="AJ101" s="398">
        <f t="shared" si="295"/>
        <v>0</v>
      </c>
      <c r="AK101" s="340">
        <f t="shared" si="295"/>
        <v>6.0100000000000007</v>
      </c>
      <c r="AL101" s="444">
        <f t="shared" si="295"/>
        <v>24656227</v>
      </c>
      <c r="AM101" s="378">
        <f t="shared" si="295"/>
        <v>18290969</v>
      </c>
      <c r="AN101" s="378">
        <f t="shared" si="295"/>
        <v>0</v>
      </c>
      <c r="AO101" s="378">
        <f t="shared" si="295"/>
        <v>6182348</v>
      </c>
      <c r="AP101" s="378">
        <f t="shared" si="295"/>
        <v>182910</v>
      </c>
      <c r="AQ101" s="378">
        <f t="shared" si="295"/>
        <v>0</v>
      </c>
      <c r="AR101" s="398">
        <f t="shared" si="295"/>
        <v>28.020000000000003</v>
      </c>
    </row>
    <row r="102" spans="1:44" s="152" customFormat="1" ht="12.75" customHeight="1" x14ac:dyDescent="0.2">
      <c r="A102" s="154">
        <v>27</v>
      </c>
      <c r="B102" s="155">
        <v>3417</v>
      </c>
      <c r="C102" s="155">
        <v>600078353</v>
      </c>
      <c r="D102" s="155">
        <v>72743352</v>
      </c>
      <c r="E102" s="156" t="s">
        <v>56</v>
      </c>
      <c r="F102" s="155">
        <v>3113</v>
      </c>
      <c r="G102" s="156" t="s">
        <v>280</v>
      </c>
      <c r="H102" s="157" t="s">
        <v>262</v>
      </c>
      <c r="I102" s="627">
        <f>SUM(J102:L102)</f>
        <v>14216636</v>
      </c>
      <c r="J102" s="410">
        <v>10546465</v>
      </c>
      <c r="K102" s="431">
        <f>ROUND(J102*33.8%,0)+1</f>
        <v>3564706</v>
      </c>
      <c r="L102" s="431">
        <f t="shared" ref="L102:L104" si="296">ROUND(J102*1%,0)</f>
        <v>105465</v>
      </c>
      <c r="M102" s="431">
        <v>0</v>
      </c>
      <c r="N102" s="783">
        <v>13.77</v>
      </c>
      <c r="O102" s="445">
        <f>V102*-1</f>
        <v>-30000</v>
      </c>
      <c r="P102" s="325">
        <v>0</v>
      </c>
      <c r="Q102" s="325">
        <v>0</v>
      </c>
      <c r="R102" s="325">
        <v>0</v>
      </c>
      <c r="S102" s="325">
        <v>0</v>
      </c>
      <c r="T102" s="325">
        <v>0</v>
      </c>
      <c r="U102" s="492">
        <f t="shared" ref="U102:U104" si="297">O102+P102+Q102+R102+S102+T102</f>
        <v>-30000</v>
      </c>
      <c r="V102" s="325">
        <v>30000</v>
      </c>
      <c r="W102" s="325">
        <v>0</v>
      </c>
      <c r="X102" s="325">
        <v>0</v>
      </c>
      <c r="Y102" s="492">
        <f t="shared" ref="Y102:Y104" si="298">V102+W102+X102</f>
        <v>30000</v>
      </c>
      <c r="Z102" s="492">
        <f t="shared" ref="Z102:Z104" si="299">U102+Y102</f>
        <v>0</v>
      </c>
      <c r="AA102" s="494">
        <f t="shared" ref="AA102:AA104" si="300">ROUND((U102+Y102)*33.8%,0)</f>
        <v>0</v>
      </c>
      <c r="AB102" s="494">
        <f t="shared" ref="AB102:AB104" si="301">ROUND(U102*1%,0)</f>
        <v>-300</v>
      </c>
      <c r="AC102" s="492">
        <v>0</v>
      </c>
      <c r="AD102" s="789">
        <f t="shared" ref="AD102:AD104" si="302">Z102+AA102+AB102+AC102</f>
        <v>-300</v>
      </c>
      <c r="AE102" s="715">
        <v>0</v>
      </c>
      <c r="AF102" s="326">
        <v>0</v>
      </c>
      <c r="AG102" s="326">
        <v>0</v>
      </c>
      <c r="AH102" s="326">
        <v>0</v>
      </c>
      <c r="AI102" s="326">
        <v>0</v>
      </c>
      <c r="AJ102" s="326">
        <v>0</v>
      </c>
      <c r="AK102" s="626">
        <f t="shared" ref="AK102:AK104" si="303">SUM(AE102:AJ102)</f>
        <v>0</v>
      </c>
      <c r="AL102" s="493">
        <f>I102+AD102</f>
        <v>14216336</v>
      </c>
      <c r="AM102" s="492">
        <f>J102+U102</f>
        <v>10516465</v>
      </c>
      <c r="AN102" s="492">
        <f t="shared" ref="AN102:AN104" si="304">Y102</f>
        <v>30000</v>
      </c>
      <c r="AO102" s="492">
        <f t="shared" ref="AO102:AQ104" si="305">K102+AA102</f>
        <v>3564706</v>
      </c>
      <c r="AP102" s="492">
        <f t="shared" si="305"/>
        <v>105165</v>
      </c>
      <c r="AQ102" s="578">
        <f t="shared" si="305"/>
        <v>0</v>
      </c>
      <c r="AR102" s="491">
        <f t="shared" ref="AR102:AR104" si="306">N102+AK102</f>
        <v>13.77</v>
      </c>
    </row>
    <row r="103" spans="1:44" s="152" customFormat="1" x14ac:dyDescent="0.2">
      <c r="A103" s="154">
        <v>27</v>
      </c>
      <c r="B103" s="155">
        <v>3417</v>
      </c>
      <c r="C103" s="155">
        <v>600078353</v>
      </c>
      <c r="D103" s="155">
        <v>72743352</v>
      </c>
      <c r="E103" s="156" t="s">
        <v>56</v>
      </c>
      <c r="F103" s="155">
        <v>3113</v>
      </c>
      <c r="G103" s="156" t="s">
        <v>278</v>
      </c>
      <c r="H103" s="157" t="s">
        <v>263</v>
      </c>
      <c r="I103" s="586">
        <f>SUM(J103:L103)</f>
        <v>0</v>
      </c>
      <c r="J103" s="323"/>
      <c r="K103" s="431">
        <f t="shared" ref="K103:K104" si="307">ROUND(J103*33.8%,0)</f>
        <v>0</v>
      </c>
      <c r="L103" s="431">
        <f t="shared" si="296"/>
        <v>0</v>
      </c>
      <c r="M103" s="431">
        <v>0</v>
      </c>
      <c r="N103" s="784">
        <v>0</v>
      </c>
      <c r="O103" s="440">
        <f>V103*-1</f>
        <v>0</v>
      </c>
      <c r="P103" s="325">
        <v>496060</v>
      </c>
      <c r="Q103" s="325">
        <v>0</v>
      </c>
      <c r="R103" s="325">
        <v>0</v>
      </c>
      <c r="S103" s="325">
        <v>0</v>
      </c>
      <c r="T103" s="325">
        <v>0</v>
      </c>
      <c r="U103" s="492">
        <f t="shared" si="297"/>
        <v>496060</v>
      </c>
      <c r="V103" s="325">
        <v>0</v>
      </c>
      <c r="W103" s="325">
        <v>0</v>
      </c>
      <c r="X103" s="325">
        <v>0</v>
      </c>
      <c r="Y103" s="492">
        <f t="shared" si="298"/>
        <v>0</v>
      </c>
      <c r="Z103" s="492">
        <f t="shared" si="299"/>
        <v>496060</v>
      </c>
      <c r="AA103" s="494">
        <f t="shared" si="300"/>
        <v>167668</v>
      </c>
      <c r="AB103" s="494">
        <f t="shared" si="301"/>
        <v>4961</v>
      </c>
      <c r="AC103" s="492">
        <v>0</v>
      </c>
      <c r="AD103" s="789">
        <f t="shared" si="302"/>
        <v>668689</v>
      </c>
      <c r="AE103" s="715">
        <v>0</v>
      </c>
      <c r="AF103" s="326">
        <v>1.25</v>
      </c>
      <c r="AG103" s="326">
        <v>0</v>
      </c>
      <c r="AH103" s="326">
        <v>0</v>
      </c>
      <c r="AI103" s="326">
        <v>0</v>
      </c>
      <c r="AJ103" s="326">
        <v>0</v>
      </c>
      <c r="AK103" s="626">
        <f t="shared" si="303"/>
        <v>1.25</v>
      </c>
      <c r="AL103" s="493">
        <f>I103+AD103</f>
        <v>668689</v>
      </c>
      <c r="AM103" s="492">
        <f>J103+U103</f>
        <v>496060</v>
      </c>
      <c r="AN103" s="492">
        <f t="shared" si="304"/>
        <v>0</v>
      </c>
      <c r="AO103" s="492">
        <f t="shared" si="305"/>
        <v>167668</v>
      </c>
      <c r="AP103" s="492">
        <f t="shared" si="305"/>
        <v>4961</v>
      </c>
      <c r="AQ103" s="578">
        <f t="shared" si="305"/>
        <v>0</v>
      </c>
      <c r="AR103" s="491">
        <f t="shared" si="306"/>
        <v>1.25</v>
      </c>
    </row>
    <row r="104" spans="1:44" s="152" customFormat="1" ht="12.75" customHeight="1" x14ac:dyDescent="0.2">
      <c r="A104" s="154">
        <v>27</v>
      </c>
      <c r="B104" s="155">
        <v>3417</v>
      </c>
      <c r="C104" s="155">
        <v>600078353</v>
      </c>
      <c r="D104" s="155">
        <v>72743352</v>
      </c>
      <c r="E104" s="156" t="s">
        <v>56</v>
      </c>
      <c r="F104" s="155">
        <v>3143</v>
      </c>
      <c r="G104" s="156" t="s">
        <v>794</v>
      </c>
      <c r="H104" s="157" t="s">
        <v>262</v>
      </c>
      <c r="I104" s="586">
        <f>SUM(J104:L104)</f>
        <v>1520390</v>
      </c>
      <c r="J104" s="323">
        <v>1127886</v>
      </c>
      <c r="K104" s="431">
        <f t="shared" si="307"/>
        <v>381225</v>
      </c>
      <c r="L104" s="431">
        <f t="shared" si="296"/>
        <v>11279</v>
      </c>
      <c r="M104" s="431">
        <v>0</v>
      </c>
      <c r="N104" s="784">
        <v>2</v>
      </c>
      <c r="O104" s="440">
        <f>V104*-1</f>
        <v>-6000</v>
      </c>
      <c r="P104" s="325">
        <v>0</v>
      </c>
      <c r="Q104" s="325">
        <v>0</v>
      </c>
      <c r="R104" s="325">
        <v>0</v>
      </c>
      <c r="S104" s="325">
        <v>0</v>
      </c>
      <c r="T104" s="325">
        <v>0</v>
      </c>
      <c r="U104" s="492">
        <f t="shared" si="297"/>
        <v>-6000</v>
      </c>
      <c r="V104" s="325">
        <v>6000</v>
      </c>
      <c r="W104" s="325">
        <v>0</v>
      </c>
      <c r="X104" s="325">
        <v>0</v>
      </c>
      <c r="Y104" s="492">
        <f t="shared" si="298"/>
        <v>6000</v>
      </c>
      <c r="Z104" s="492">
        <f t="shared" si="299"/>
        <v>0</v>
      </c>
      <c r="AA104" s="494">
        <f t="shared" si="300"/>
        <v>0</v>
      </c>
      <c r="AB104" s="494">
        <f t="shared" si="301"/>
        <v>-60</v>
      </c>
      <c r="AC104" s="492">
        <v>0</v>
      </c>
      <c r="AD104" s="789">
        <f t="shared" si="302"/>
        <v>-60</v>
      </c>
      <c r="AE104" s="715">
        <v>0</v>
      </c>
      <c r="AF104" s="326">
        <v>0</v>
      </c>
      <c r="AG104" s="326">
        <v>0</v>
      </c>
      <c r="AH104" s="326">
        <v>0</v>
      </c>
      <c r="AI104" s="326">
        <v>0</v>
      </c>
      <c r="AJ104" s="326">
        <v>0</v>
      </c>
      <c r="AK104" s="626">
        <f t="shared" si="303"/>
        <v>0</v>
      </c>
      <c r="AL104" s="493">
        <f>I104+AD104</f>
        <v>1520330</v>
      </c>
      <c r="AM104" s="492">
        <f>J104+U104</f>
        <v>1121886</v>
      </c>
      <c r="AN104" s="492">
        <f t="shared" si="304"/>
        <v>6000</v>
      </c>
      <c r="AO104" s="492">
        <f t="shared" si="305"/>
        <v>381225</v>
      </c>
      <c r="AP104" s="492">
        <f t="shared" si="305"/>
        <v>11219</v>
      </c>
      <c r="AQ104" s="578">
        <f t="shared" si="305"/>
        <v>0</v>
      </c>
      <c r="AR104" s="491">
        <f t="shared" si="306"/>
        <v>2</v>
      </c>
    </row>
    <row r="105" spans="1:44" s="152" customFormat="1" ht="12.75" customHeight="1" x14ac:dyDescent="0.2">
      <c r="A105" s="105">
        <v>27</v>
      </c>
      <c r="B105" s="12">
        <v>3417</v>
      </c>
      <c r="C105" s="104">
        <v>600078353</v>
      </c>
      <c r="D105" s="104">
        <v>72743352</v>
      </c>
      <c r="E105" s="153" t="s">
        <v>57</v>
      </c>
      <c r="F105" s="12"/>
      <c r="G105" s="153"/>
      <c r="H105" s="407"/>
      <c r="I105" s="782">
        <f t="shared" ref="I105:AR105" si="308">SUM(I102:I104)</f>
        <v>15737026</v>
      </c>
      <c r="J105" s="378">
        <f t="shared" si="308"/>
        <v>11674351</v>
      </c>
      <c r="K105" s="378">
        <f t="shared" si="308"/>
        <v>3945931</v>
      </c>
      <c r="L105" s="378">
        <f t="shared" si="308"/>
        <v>116744</v>
      </c>
      <c r="M105" s="378">
        <f t="shared" si="308"/>
        <v>0</v>
      </c>
      <c r="N105" s="340">
        <f t="shared" si="308"/>
        <v>15.77</v>
      </c>
      <c r="O105" s="444">
        <f t="shared" si="308"/>
        <v>-36000</v>
      </c>
      <c r="P105" s="378">
        <f t="shared" si="308"/>
        <v>496060</v>
      </c>
      <c r="Q105" s="378">
        <f t="shared" si="308"/>
        <v>0</v>
      </c>
      <c r="R105" s="378">
        <f t="shared" si="308"/>
        <v>0</v>
      </c>
      <c r="S105" s="378">
        <f t="shared" si="308"/>
        <v>0</v>
      </c>
      <c r="T105" s="378">
        <f t="shared" si="308"/>
        <v>0</v>
      </c>
      <c r="U105" s="378">
        <f t="shared" si="308"/>
        <v>460060</v>
      </c>
      <c r="V105" s="378">
        <f t="shared" si="308"/>
        <v>36000</v>
      </c>
      <c r="W105" s="378">
        <f t="shared" si="308"/>
        <v>0</v>
      </c>
      <c r="X105" s="378">
        <f t="shared" si="308"/>
        <v>0</v>
      </c>
      <c r="Y105" s="378">
        <f t="shared" si="308"/>
        <v>36000</v>
      </c>
      <c r="Z105" s="378">
        <f t="shared" si="308"/>
        <v>496060</v>
      </c>
      <c r="AA105" s="378">
        <f t="shared" si="308"/>
        <v>167668</v>
      </c>
      <c r="AB105" s="378">
        <f t="shared" si="308"/>
        <v>4601</v>
      </c>
      <c r="AC105" s="378">
        <f t="shared" si="308"/>
        <v>0</v>
      </c>
      <c r="AD105" s="788">
        <f t="shared" si="308"/>
        <v>668329</v>
      </c>
      <c r="AE105" s="790">
        <f t="shared" si="308"/>
        <v>0</v>
      </c>
      <c r="AF105" s="398">
        <f t="shared" si="308"/>
        <v>1.25</v>
      </c>
      <c r="AG105" s="398">
        <f t="shared" si="308"/>
        <v>0</v>
      </c>
      <c r="AH105" s="398">
        <f t="shared" si="308"/>
        <v>0</v>
      </c>
      <c r="AI105" s="398">
        <f t="shared" si="308"/>
        <v>0</v>
      </c>
      <c r="AJ105" s="398">
        <f t="shared" si="308"/>
        <v>0</v>
      </c>
      <c r="AK105" s="340">
        <f t="shared" si="308"/>
        <v>1.25</v>
      </c>
      <c r="AL105" s="444">
        <f t="shared" si="308"/>
        <v>16405355</v>
      </c>
      <c r="AM105" s="378">
        <f t="shared" si="308"/>
        <v>12134411</v>
      </c>
      <c r="AN105" s="378">
        <f t="shared" si="308"/>
        <v>36000</v>
      </c>
      <c r="AO105" s="378">
        <f t="shared" si="308"/>
        <v>4113599</v>
      </c>
      <c r="AP105" s="378">
        <f t="shared" si="308"/>
        <v>121345</v>
      </c>
      <c r="AQ105" s="378">
        <f t="shared" si="308"/>
        <v>0</v>
      </c>
      <c r="AR105" s="398">
        <f t="shared" si="308"/>
        <v>17.02</v>
      </c>
    </row>
    <row r="106" spans="1:44" s="152" customFormat="1" ht="12.75" customHeight="1" x14ac:dyDescent="0.2">
      <c r="A106" s="154">
        <v>28</v>
      </c>
      <c r="B106" s="155">
        <v>3410</v>
      </c>
      <c r="C106" s="155">
        <v>650038550</v>
      </c>
      <c r="D106" s="155">
        <v>72743191</v>
      </c>
      <c r="E106" s="156" t="s">
        <v>58</v>
      </c>
      <c r="F106" s="155">
        <v>3113</v>
      </c>
      <c r="G106" s="156" t="s">
        <v>280</v>
      </c>
      <c r="H106" s="157" t="s">
        <v>262</v>
      </c>
      <c r="I106" s="627">
        <f>SUM(J106:L106)</f>
        <v>24927320</v>
      </c>
      <c r="J106" s="410">
        <v>18492077</v>
      </c>
      <c r="K106" s="431">
        <f t="shared" ref="K106:K109" si="309">ROUND(J106*33.8%,0)</f>
        <v>6250322</v>
      </c>
      <c r="L106" s="431">
        <f t="shared" ref="L106:L109" si="310">ROUND(J106*1%,0)</f>
        <v>184921</v>
      </c>
      <c r="M106" s="431">
        <v>0</v>
      </c>
      <c r="N106" s="783">
        <v>25.41</v>
      </c>
      <c r="O106" s="445">
        <f>V106*-1</f>
        <v>-23400</v>
      </c>
      <c r="P106" s="325">
        <v>0</v>
      </c>
      <c r="Q106" s="325">
        <v>0</v>
      </c>
      <c r="R106" s="325">
        <v>0</v>
      </c>
      <c r="S106" s="325">
        <v>0</v>
      </c>
      <c r="T106" s="325">
        <v>0</v>
      </c>
      <c r="U106" s="492">
        <f t="shared" ref="U106:U109" si="311">O106+P106+Q106+R106+S106+T106</f>
        <v>-23400</v>
      </c>
      <c r="V106" s="325">
        <v>23400</v>
      </c>
      <c r="W106" s="325">
        <v>0</v>
      </c>
      <c r="X106" s="325">
        <v>0</v>
      </c>
      <c r="Y106" s="492">
        <f t="shared" ref="Y106:Y109" si="312">V106+W106+X106</f>
        <v>23400</v>
      </c>
      <c r="Z106" s="492">
        <f t="shared" ref="Z106:Z109" si="313">U106+Y106</f>
        <v>0</v>
      </c>
      <c r="AA106" s="494">
        <f t="shared" ref="AA106:AA109" si="314">ROUND((U106+Y106)*33.8%,0)</f>
        <v>0</v>
      </c>
      <c r="AB106" s="494">
        <f t="shared" ref="AB106:AB109" si="315">ROUND(U106*1%,0)</f>
        <v>-234</v>
      </c>
      <c r="AC106" s="492">
        <v>0</v>
      </c>
      <c r="AD106" s="789">
        <f t="shared" ref="AD106:AD109" si="316">Z106+AA106+AB106+AC106</f>
        <v>-234</v>
      </c>
      <c r="AE106" s="715">
        <v>-0.02</v>
      </c>
      <c r="AF106" s="326">
        <v>0</v>
      </c>
      <c r="AG106" s="326">
        <v>0</v>
      </c>
      <c r="AH106" s="326">
        <v>0</v>
      </c>
      <c r="AI106" s="326">
        <v>0</v>
      </c>
      <c r="AJ106" s="326">
        <v>0</v>
      </c>
      <c r="AK106" s="626">
        <f t="shared" ref="AK106:AK109" si="317">SUM(AE106:AJ106)</f>
        <v>-0.02</v>
      </c>
      <c r="AL106" s="493">
        <f>I106+AD106</f>
        <v>24927086</v>
      </c>
      <c r="AM106" s="492">
        <f>J106+U106</f>
        <v>18468677</v>
      </c>
      <c r="AN106" s="492">
        <f t="shared" ref="AN106:AN109" si="318">Y106</f>
        <v>23400</v>
      </c>
      <c r="AO106" s="492">
        <f t="shared" ref="AO106:AQ109" si="319">K106+AA106</f>
        <v>6250322</v>
      </c>
      <c r="AP106" s="492">
        <f t="shared" si="319"/>
        <v>184687</v>
      </c>
      <c r="AQ106" s="578">
        <f t="shared" si="319"/>
        <v>0</v>
      </c>
      <c r="AR106" s="491">
        <f t="shared" ref="AR106:AR109" si="320">N106+AK106</f>
        <v>25.39</v>
      </c>
    </row>
    <row r="107" spans="1:44" s="152" customFormat="1" ht="12.75" customHeight="1" x14ac:dyDescent="0.2">
      <c r="A107" s="154">
        <v>28</v>
      </c>
      <c r="B107" s="155">
        <v>3410</v>
      </c>
      <c r="C107" s="155">
        <v>650038550</v>
      </c>
      <c r="D107" s="155">
        <v>72743191</v>
      </c>
      <c r="E107" s="156" t="s">
        <v>58</v>
      </c>
      <c r="F107" s="155">
        <v>3113</v>
      </c>
      <c r="G107" s="156" t="s">
        <v>799</v>
      </c>
      <c r="H107" s="157" t="s">
        <v>262</v>
      </c>
      <c r="I107" s="627">
        <f>SUM(J107:L107)</f>
        <v>557977</v>
      </c>
      <c r="J107" s="410">
        <v>413930</v>
      </c>
      <c r="K107" s="431">
        <f t="shared" si="309"/>
        <v>139908</v>
      </c>
      <c r="L107" s="431">
        <f t="shared" si="310"/>
        <v>4139</v>
      </c>
      <c r="M107" s="431">
        <v>0</v>
      </c>
      <c r="N107" s="783">
        <v>0.79</v>
      </c>
      <c r="O107" s="445">
        <f>V107*-1</f>
        <v>0</v>
      </c>
      <c r="P107" s="325">
        <v>0</v>
      </c>
      <c r="Q107" s="325">
        <v>0</v>
      </c>
      <c r="R107" s="325">
        <v>0</v>
      </c>
      <c r="S107" s="325">
        <v>0</v>
      </c>
      <c r="T107" s="325">
        <v>0</v>
      </c>
      <c r="U107" s="492">
        <f t="shared" si="311"/>
        <v>0</v>
      </c>
      <c r="V107" s="325">
        <v>0</v>
      </c>
      <c r="W107" s="325">
        <v>0</v>
      </c>
      <c r="X107" s="325">
        <v>0</v>
      </c>
      <c r="Y107" s="492">
        <f t="shared" si="312"/>
        <v>0</v>
      </c>
      <c r="Z107" s="492">
        <f t="shared" si="313"/>
        <v>0</v>
      </c>
      <c r="AA107" s="494">
        <f t="shared" si="314"/>
        <v>0</v>
      </c>
      <c r="AB107" s="494">
        <f t="shared" si="315"/>
        <v>0</v>
      </c>
      <c r="AC107" s="492">
        <v>0</v>
      </c>
      <c r="AD107" s="789">
        <f t="shared" si="316"/>
        <v>0</v>
      </c>
      <c r="AE107" s="715">
        <v>0</v>
      </c>
      <c r="AF107" s="326">
        <v>0</v>
      </c>
      <c r="AG107" s="326">
        <v>0</v>
      </c>
      <c r="AH107" s="326">
        <v>0</v>
      </c>
      <c r="AI107" s="326">
        <v>0</v>
      </c>
      <c r="AJ107" s="326">
        <v>0</v>
      </c>
      <c r="AK107" s="626">
        <f t="shared" si="317"/>
        <v>0</v>
      </c>
      <c r="AL107" s="493">
        <f>I107+AD107</f>
        <v>557977</v>
      </c>
      <c r="AM107" s="492">
        <f>J107+U107</f>
        <v>413930</v>
      </c>
      <c r="AN107" s="492">
        <f t="shared" si="318"/>
        <v>0</v>
      </c>
      <c r="AO107" s="492">
        <f t="shared" si="319"/>
        <v>139908</v>
      </c>
      <c r="AP107" s="492">
        <f t="shared" si="319"/>
        <v>4139</v>
      </c>
      <c r="AQ107" s="578">
        <f t="shared" si="319"/>
        <v>0</v>
      </c>
      <c r="AR107" s="491">
        <f t="shared" si="320"/>
        <v>0.79</v>
      </c>
    </row>
    <row r="108" spans="1:44" s="152" customFormat="1" x14ac:dyDescent="0.2">
      <c r="A108" s="154">
        <v>28</v>
      </c>
      <c r="B108" s="155">
        <v>3410</v>
      </c>
      <c r="C108" s="155">
        <v>650038550</v>
      </c>
      <c r="D108" s="155">
        <v>72743191</v>
      </c>
      <c r="E108" s="156" t="s">
        <v>58</v>
      </c>
      <c r="F108" s="155">
        <v>3113</v>
      </c>
      <c r="G108" s="156" t="s">
        <v>278</v>
      </c>
      <c r="H108" s="157" t="s">
        <v>263</v>
      </c>
      <c r="I108" s="586">
        <f>SUM(J108:L108)</f>
        <v>0</v>
      </c>
      <c r="J108" s="323"/>
      <c r="K108" s="431">
        <f t="shared" si="309"/>
        <v>0</v>
      </c>
      <c r="L108" s="431">
        <f t="shared" si="310"/>
        <v>0</v>
      </c>
      <c r="M108" s="431">
        <v>0</v>
      </c>
      <c r="N108" s="784">
        <v>0</v>
      </c>
      <c r="O108" s="440">
        <f>V108*-1</f>
        <v>0</v>
      </c>
      <c r="P108" s="325">
        <v>2517254</v>
      </c>
      <c r="Q108" s="325">
        <v>0</v>
      </c>
      <c r="R108" s="325">
        <v>0</v>
      </c>
      <c r="S108" s="325">
        <v>0</v>
      </c>
      <c r="T108" s="325">
        <v>0</v>
      </c>
      <c r="U108" s="492">
        <f t="shared" si="311"/>
        <v>2517254</v>
      </c>
      <c r="V108" s="325">
        <v>0</v>
      </c>
      <c r="W108" s="325">
        <v>0</v>
      </c>
      <c r="X108" s="325">
        <v>0</v>
      </c>
      <c r="Y108" s="492">
        <f t="shared" si="312"/>
        <v>0</v>
      </c>
      <c r="Z108" s="492">
        <f t="shared" si="313"/>
        <v>2517254</v>
      </c>
      <c r="AA108" s="494">
        <f t="shared" si="314"/>
        <v>850832</v>
      </c>
      <c r="AB108" s="494">
        <f t="shared" si="315"/>
        <v>25173</v>
      </c>
      <c r="AC108" s="492">
        <v>0</v>
      </c>
      <c r="AD108" s="789">
        <f t="shared" si="316"/>
        <v>3393259</v>
      </c>
      <c r="AE108" s="715">
        <v>0</v>
      </c>
      <c r="AF108" s="326">
        <f>6.24</f>
        <v>6.24</v>
      </c>
      <c r="AG108" s="326">
        <v>0</v>
      </c>
      <c r="AH108" s="326">
        <v>0</v>
      </c>
      <c r="AI108" s="326">
        <v>0</v>
      </c>
      <c r="AJ108" s="326">
        <v>0</v>
      </c>
      <c r="AK108" s="626">
        <f t="shared" si="317"/>
        <v>6.24</v>
      </c>
      <c r="AL108" s="493">
        <f>I108+AD108</f>
        <v>3393259</v>
      </c>
      <c r="AM108" s="492">
        <f>J108+U108</f>
        <v>2517254</v>
      </c>
      <c r="AN108" s="492">
        <f t="shared" si="318"/>
        <v>0</v>
      </c>
      <c r="AO108" s="492">
        <f t="shared" si="319"/>
        <v>850832</v>
      </c>
      <c r="AP108" s="492">
        <f t="shared" si="319"/>
        <v>25173</v>
      </c>
      <c r="AQ108" s="578">
        <f t="shared" si="319"/>
        <v>0</v>
      </c>
      <c r="AR108" s="491">
        <f t="shared" si="320"/>
        <v>6.24</v>
      </c>
    </row>
    <row r="109" spans="1:44" s="152" customFormat="1" ht="12.75" customHeight="1" x14ac:dyDescent="0.2">
      <c r="A109" s="154">
        <v>28</v>
      </c>
      <c r="B109" s="155">
        <v>3410</v>
      </c>
      <c r="C109" s="155">
        <v>650038550</v>
      </c>
      <c r="D109" s="155">
        <v>72743191</v>
      </c>
      <c r="E109" s="156" t="s">
        <v>58</v>
      </c>
      <c r="F109" s="155">
        <v>3143</v>
      </c>
      <c r="G109" s="156" t="s">
        <v>794</v>
      </c>
      <c r="H109" s="157" t="s">
        <v>262</v>
      </c>
      <c r="I109" s="586">
        <f>SUM(J109:L109)</f>
        <v>2805059</v>
      </c>
      <c r="J109" s="323">
        <v>2080904</v>
      </c>
      <c r="K109" s="431">
        <f t="shared" si="309"/>
        <v>703346</v>
      </c>
      <c r="L109" s="431">
        <f t="shared" si="310"/>
        <v>20809</v>
      </c>
      <c r="M109" s="431">
        <v>0</v>
      </c>
      <c r="N109" s="784">
        <v>3.72</v>
      </c>
      <c r="O109" s="440">
        <f>V109*-1</f>
        <v>-24600</v>
      </c>
      <c r="P109" s="325">
        <v>0</v>
      </c>
      <c r="Q109" s="325">
        <v>0</v>
      </c>
      <c r="R109" s="325">
        <v>0</v>
      </c>
      <c r="S109" s="325">
        <v>0</v>
      </c>
      <c r="T109" s="325">
        <v>0</v>
      </c>
      <c r="U109" s="492">
        <f t="shared" si="311"/>
        <v>-24600</v>
      </c>
      <c r="V109" s="325">
        <v>24600</v>
      </c>
      <c r="W109" s="325">
        <v>0</v>
      </c>
      <c r="X109" s="325">
        <v>0</v>
      </c>
      <c r="Y109" s="492">
        <f t="shared" si="312"/>
        <v>24600</v>
      </c>
      <c r="Z109" s="492">
        <f t="shared" si="313"/>
        <v>0</v>
      </c>
      <c r="AA109" s="494">
        <f t="shared" si="314"/>
        <v>0</v>
      </c>
      <c r="AB109" s="494">
        <f t="shared" si="315"/>
        <v>-246</v>
      </c>
      <c r="AC109" s="492">
        <v>0</v>
      </c>
      <c r="AD109" s="789">
        <f t="shared" si="316"/>
        <v>-246</v>
      </c>
      <c r="AE109" s="715">
        <v>0</v>
      </c>
      <c r="AF109" s="326">
        <v>0</v>
      </c>
      <c r="AG109" s="326">
        <v>0</v>
      </c>
      <c r="AH109" s="326">
        <v>0</v>
      </c>
      <c r="AI109" s="326">
        <v>0</v>
      </c>
      <c r="AJ109" s="326">
        <v>0</v>
      </c>
      <c r="AK109" s="626">
        <f t="shared" si="317"/>
        <v>0</v>
      </c>
      <c r="AL109" s="493">
        <f>I109+AD109</f>
        <v>2804813</v>
      </c>
      <c r="AM109" s="492">
        <f>J109+U109</f>
        <v>2056304</v>
      </c>
      <c r="AN109" s="492">
        <f t="shared" si="318"/>
        <v>24600</v>
      </c>
      <c r="AO109" s="492">
        <f t="shared" si="319"/>
        <v>703346</v>
      </c>
      <c r="AP109" s="492">
        <f t="shared" si="319"/>
        <v>20563</v>
      </c>
      <c r="AQ109" s="578">
        <f t="shared" si="319"/>
        <v>0</v>
      </c>
      <c r="AR109" s="491">
        <f t="shared" si="320"/>
        <v>3.72</v>
      </c>
    </row>
    <row r="110" spans="1:44" s="152" customFormat="1" ht="12.75" customHeight="1" x14ac:dyDescent="0.2">
      <c r="A110" s="105">
        <v>28</v>
      </c>
      <c r="B110" s="12">
        <v>3410</v>
      </c>
      <c r="C110" s="104">
        <v>650038550</v>
      </c>
      <c r="D110" s="104">
        <v>72743191</v>
      </c>
      <c r="E110" s="153" t="s">
        <v>59</v>
      </c>
      <c r="F110" s="12"/>
      <c r="G110" s="153"/>
      <c r="H110" s="407"/>
      <c r="I110" s="782">
        <f t="shared" ref="I110:AR110" si="321">SUM(I106:I109)</f>
        <v>28290356</v>
      </c>
      <c r="J110" s="378">
        <f t="shared" si="321"/>
        <v>20986911</v>
      </c>
      <c r="K110" s="378">
        <f t="shared" si="321"/>
        <v>7093576</v>
      </c>
      <c r="L110" s="378">
        <f t="shared" si="321"/>
        <v>209869</v>
      </c>
      <c r="M110" s="378">
        <f t="shared" si="321"/>
        <v>0</v>
      </c>
      <c r="N110" s="340">
        <f t="shared" si="321"/>
        <v>29.919999999999998</v>
      </c>
      <c r="O110" s="444">
        <f t="shared" si="321"/>
        <v>-48000</v>
      </c>
      <c r="P110" s="378">
        <f t="shared" si="321"/>
        <v>2517254</v>
      </c>
      <c r="Q110" s="378">
        <f t="shared" si="321"/>
        <v>0</v>
      </c>
      <c r="R110" s="378">
        <f t="shared" si="321"/>
        <v>0</v>
      </c>
      <c r="S110" s="378">
        <f t="shared" si="321"/>
        <v>0</v>
      </c>
      <c r="T110" s="378">
        <f t="shared" si="321"/>
        <v>0</v>
      </c>
      <c r="U110" s="378">
        <f t="shared" si="321"/>
        <v>2469254</v>
      </c>
      <c r="V110" s="378">
        <f t="shared" si="321"/>
        <v>48000</v>
      </c>
      <c r="W110" s="378">
        <f t="shared" si="321"/>
        <v>0</v>
      </c>
      <c r="X110" s="378">
        <f t="shared" si="321"/>
        <v>0</v>
      </c>
      <c r="Y110" s="378">
        <f t="shared" si="321"/>
        <v>48000</v>
      </c>
      <c r="Z110" s="378">
        <f t="shared" si="321"/>
        <v>2517254</v>
      </c>
      <c r="AA110" s="378">
        <f t="shared" si="321"/>
        <v>850832</v>
      </c>
      <c r="AB110" s="378">
        <f t="shared" si="321"/>
        <v>24693</v>
      </c>
      <c r="AC110" s="378">
        <f t="shared" si="321"/>
        <v>0</v>
      </c>
      <c r="AD110" s="788">
        <f t="shared" si="321"/>
        <v>3392779</v>
      </c>
      <c r="AE110" s="790">
        <f t="shared" si="321"/>
        <v>-0.02</v>
      </c>
      <c r="AF110" s="398">
        <f t="shared" si="321"/>
        <v>6.24</v>
      </c>
      <c r="AG110" s="398">
        <f t="shared" si="321"/>
        <v>0</v>
      </c>
      <c r="AH110" s="398">
        <f t="shared" si="321"/>
        <v>0</v>
      </c>
      <c r="AI110" s="398">
        <f t="shared" si="321"/>
        <v>0</v>
      </c>
      <c r="AJ110" s="398">
        <f t="shared" si="321"/>
        <v>0</v>
      </c>
      <c r="AK110" s="340">
        <f t="shared" si="321"/>
        <v>6.2200000000000006</v>
      </c>
      <c r="AL110" s="444">
        <f t="shared" si="321"/>
        <v>31683135</v>
      </c>
      <c r="AM110" s="378">
        <f t="shared" si="321"/>
        <v>23456165</v>
      </c>
      <c r="AN110" s="378">
        <f t="shared" si="321"/>
        <v>48000</v>
      </c>
      <c r="AO110" s="378">
        <f t="shared" si="321"/>
        <v>7944408</v>
      </c>
      <c r="AP110" s="378">
        <f t="shared" si="321"/>
        <v>234562</v>
      </c>
      <c r="AQ110" s="378">
        <f t="shared" si="321"/>
        <v>0</v>
      </c>
      <c r="AR110" s="398">
        <f t="shared" si="321"/>
        <v>36.14</v>
      </c>
    </row>
    <row r="111" spans="1:44" s="152" customFormat="1" ht="12.75" customHeight="1" x14ac:dyDescent="0.2">
      <c r="A111" s="154">
        <v>29</v>
      </c>
      <c r="B111" s="155">
        <v>3455</v>
      </c>
      <c r="C111" s="155">
        <v>651040515</v>
      </c>
      <c r="D111" s="155">
        <v>75122308</v>
      </c>
      <c r="E111" s="156" t="s">
        <v>60</v>
      </c>
      <c r="F111" s="155">
        <v>3231</v>
      </c>
      <c r="G111" s="156" t="s">
        <v>281</v>
      </c>
      <c r="H111" s="157" t="s">
        <v>262</v>
      </c>
      <c r="I111" s="627">
        <f>SUM(J111:L111)</f>
        <v>33752260</v>
      </c>
      <c r="J111" s="410">
        <v>25038768</v>
      </c>
      <c r="K111" s="431">
        <f>ROUND(J111*33.8%,0)</f>
        <v>8463104</v>
      </c>
      <c r="L111" s="431">
        <f>ROUND(J111*1%,0)</f>
        <v>250388</v>
      </c>
      <c r="M111" s="431">
        <v>0</v>
      </c>
      <c r="N111" s="783">
        <v>37.61</v>
      </c>
      <c r="O111" s="445">
        <f>V111*-1</f>
        <v>-120000</v>
      </c>
      <c r="P111" s="325">
        <v>0</v>
      </c>
      <c r="Q111" s="325">
        <v>0</v>
      </c>
      <c r="R111" s="325">
        <v>0</v>
      </c>
      <c r="S111" s="325">
        <v>0</v>
      </c>
      <c r="T111" s="325">
        <v>0</v>
      </c>
      <c r="U111" s="492">
        <f>O111+P111+Q111+R111+S111+T111</f>
        <v>-120000</v>
      </c>
      <c r="V111" s="325">
        <v>120000</v>
      </c>
      <c r="W111" s="325">
        <v>0</v>
      </c>
      <c r="X111" s="325">
        <v>0</v>
      </c>
      <c r="Y111" s="492">
        <f>V111+W111+X111</f>
        <v>120000</v>
      </c>
      <c r="Z111" s="492">
        <f>U111+Y111</f>
        <v>0</v>
      </c>
      <c r="AA111" s="494">
        <f>ROUND((U111+Y111)*33.8%,0)</f>
        <v>0</v>
      </c>
      <c r="AB111" s="494">
        <f>ROUND(U111*1%,0)</f>
        <v>-1200</v>
      </c>
      <c r="AC111" s="492">
        <v>0</v>
      </c>
      <c r="AD111" s="789">
        <f>Z111+AA111+AB111+AC111</f>
        <v>-1200</v>
      </c>
      <c r="AE111" s="715">
        <v>-0.09</v>
      </c>
      <c r="AF111" s="326">
        <v>0</v>
      </c>
      <c r="AG111" s="326">
        <v>0</v>
      </c>
      <c r="AH111" s="326">
        <v>0</v>
      </c>
      <c r="AI111" s="326">
        <v>0</v>
      </c>
      <c r="AJ111" s="326">
        <v>0</v>
      </c>
      <c r="AK111" s="626">
        <f>SUM(AE111:AJ111)</f>
        <v>-0.09</v>
      </c>
      <c r="AL111" s="493">
        <f>I111+AD111</f>
        <v>33751060</v>
      </c>
      <c r="AM111" s="492">
        <f>J111+U111</f>
        <v>24918768</v>
      </c>
      <c r="AN111" s="492">
        <f>Y111</f>
        <v>120000</v>
      </c>
      <c r="AO111" s="492">
        <f>K111+AA111</f>
        <v>8463104</v>
      </c>
      <c r="AP111" s="492">
        <f>L111+AB111</f>
        <v>249188</v>
      </c>
      <c r="AQ111" s="578">
        <f>M111+AC111</f>
        <v>0</v>
      </c>
      <c r="AR111" s="491">
        <f>N111+AK111</f>
        <v>37.519999999999996</v>
      </c>
    </row>
    <row r="112" spans="1:44" s="152" customFormat="1" ht="12.75" customHeight="1" x14ac:dyDescent="0.2">
      <c r="A112" s="105">
        <v>29</v>
      </c>
      <c r="B112" s="12">
        <v>3455</v>
      </c>
      <c r="C112" s="104">
        <v>651040515</v>
      </c>
      <c r="D112" s="104">
        <v>75122308</v>
      </c>
      <c r="E112" s="153" t="s">
        <v>61</v>
      </c>
      <c r="F112" s="12"/>
      <c r="G112" s="153"/>
      <c r="H112" s="407"/>
      <c r="I112" s="782">
        <f t="shared" ref="I112:AR112" si="322">SUM(I111)</f>
        <v>33752260</v>
      </c>
      <c r="J112" s="378">
        <f t="shared" si="322"/>
        <v>25038768</v>
      </c>
      <c r="K112" s="378">
        <f t="shared" si="322"/>
        <v>8463104</v>
      </c>
      <c r="L112" s="378">
        <f t="shared" si="322"/>
        <v>250388</v>
      </c>
      <c r="M112" s="378">
        <f t="shared" si="322"/>
        <v>0</v>
      </c>
      <c r="N112" s="340">
        <f t="shared" si="322"/>
        <v>37.61</v>
      </c>
      <c r="O112" s="444">
        <f t="shared" si="322"/>
        <v>-120000</v>
      </c>
      <c r="P112" s="378">
        <f t="shared" si="322"/>
        <v>0</v>
      </c>
      <c r="Q112" s="378">
        <f t="shared" si="322"/>
        <v>0</v>
      </c>
      <c r="R112" s="378">
        <f t="shared" si="322"/>
        <v>0</v>
      </c>
      <c r="S112" s="378">
        <f t="shared" si="322"/>
        <v>0</v>
      </c>
      <c r="T112" s="378">
        <f t="shared" si="322"/>
        <v>0</v>
      </c>
      <c r="U112" s="378">
        <f t="shared" si="322"/>
        <v>-120000</v>
      </c>
      <c r="V112" s="378">
        <f t="shared" si="322"/>
        <v>120000</v>
      </c>
      <c r="W112" s="378">
        <f t="shared" si="322"/>
        <v>0</v>
      </c>
      <c r="X112" s="378">
        <f t="shared" si="322"/>
        <v>0</v>
      </c>
      <c r="Y112" s="378">
        <f t="shared" si="322"/>
        <v>120000</v>
      </c>
      <c r="Z112" s="378">
        <f t="shared" si="322"/>
        <v>0</v>
      </c>
      <c r="AA112" s="378">
        <f t="shared" si="322"/>
        <v>0</v>
      </c>
      <c r="AB112" s="378">
        <f t="shared" si="322"/>
        <v>-1200</v>
      </c>
      <c r="AC112" s="378">
        <f t="shared" si="322"/>
        <v>0</v>
      </c>
      <c r="AD112" s="788">
        <f t="shared" si="322"/>
        <v>-1200</v>
      </c>
      <c r="AE112" s="790">
        <f t="shared" si="322"/>
        <v>-0.09</v>
      </c>
      <c r="AF112" s="398">
        <f t="shared" si="322"/>
        <v>0</v>
      </c>
      <c r="AG112" s="398">
        <f t="shared" si="322"/>
        <v>0</v>
      </c>
      <c r="AH112" s="398">
        <f t="shared" si="322"/>
        <v>0</v>
      </c>
      <c r="AI112" s="398">
        <f t="shared" si="322"/>
        <v>0</v>
      </c>
      <c r="AJ112" s="398">
        <f t="shared" si="322"/>
        <v>0</v>
      </c>
      <c r="AK112" s="340">
        <f t="shared" si="322"/>
        <v>-0.09</v>
      </c>
      <c r="AL112" s="444">
        <f t="shared" si="322"/>
        <v>33751060</v>
      </c>
      <c r="AM112" s="378">
        <f t="shared" si="322"/>
        <v>24918768</v>
      </c>
      <c r="AN112" s="378">
        <f t="shared" si="322"/>
        <v>120000</v>
      </c>
      <c r="AO112" s="378">
        <f t="shared" si="322"/>
        <v>8463104</v>
      </c>
      <c r="AP112" s="378">
        <f t="shared" si="322"/>
        <v>249188</v>
      </c>
      <c r="AQ112" s="378">
        <f t="shared" si="322"/>
        <v>0</v>
      </c>
      <c r="AR112" s="398">
        <f t="shared" si="322"/>
        <v>37.519999999999996</v>
      </c>
    </row>
    <row r="113" spans="1:44" s="152" customFormat="1" ht="12.75" customHeight="1" x14ac:dyDescent="0.2">
      <c r="A113" s="154">
        <v>30</v>
      </c>
      <c r="B113" s="155">
        <v>3419</v>
      </c>
      <c r="C113" s="155">
        <v>600078434</v>
      </c>
      <c r="D113" s="155">
        <v>72742658</v>
      </c>
      <c r="E113" s="156" t="s">
        <v>62</v>
      </c>
      <c r="F113" s="155">
        <v>3111</v>
      </c>
      <c r="G113" s="156" t="s">
        <v>277</v>
      </c>
      <c r="H113" s="157" t="s">
        <v>262</v>
      </c>
      <c r="I113" s="627">
        <f>SUM(J113:L113)</f>
        <v>2968626</v>
      </c>
      <c r="J113" s="410">
        <v>2202245</v>
      </c>
      <c r="K113" s="431">
        <f t="shared" ref="K113:K117" si="323">ROUND(J113*33.8%,0)</f>
        <v>744359</v>
      </c>
      <c r="L113" s="431">
        <f t="shared" ref="L113:L117" si="324">ROUND(J113*1%,0)</f>
        <v>22022</v>
      </c>
      <c r="M113" s="431">
        <v>0</v>
      </c>
      <c r="N113" s="783">
        <v>3.82</v>
      </c>
      <c r="O113" s="445">
        <f>V113*-1</f>
        <v>0</v>
      </c>
      <c r="P113" s="325">
        <v>0</v>
      </c>
      <c r="Q113" s="325">
        <v>0</v>
      </c>
      <c r="R113" s="325">
        <v>0</v>
      </c>
      <c r="S113" s="325">
        <v>0</v>
      </c>
      <c r="T113" s="325">
        <v>0</v>
      </c>
      <c r="U113" s="492">
        <f t="shared" ref="U113:U117" si="325">O113+P113+Q113+R113+S113+T113</f>
        <v>0</v>
      </c>
      <c r="V113" s="325">
        <v>0</v>
      </c>
      <c r="W113" s="325">
        <v>0</v>
      </c>
      <c r="X113" s="325">
        <v>0</v>
      </c>
      <c r="Y113" s="492">
        <f t="shared" ref="Y113:Y117" si="326">V113+W113+X113</f>
        <v>0</v>
      </c>
      <c r="Z113" s="492">
        <f t="shared" ref="Z113:Z117" si="327">U113+Y113</f>
        <v>0</v>
      </c>
      <c r="AA113" s="494">
        <f t="shared" ref="AA113:AA117" si="328">ROUND((U113+Y113)*33.8%,0)</f>
        <v>0</v>
      </c>
      <c r="AB113" s="494">
        <f t="shared" ref="AB113:AB117" si="329">ROUND(U113*1%,0)</f>
        <v>0</v>
      </c>
      <c r="AC113" s="492">
        <v>0</v>
      </c>
      <c r="AD113" s="789">
        <f t="shared" ref="AD113:AD117" si="330">Z113+AA113+AB113+AC113</f>
        <v>0</v>
      </c>
      <c r="AE113" s="715">
        <v>0</v>
      </c>
      <c r="AF113" s="326">
        <v>0</v>
      </c>
      <c r="AG113" s="326">
        <v>0</v>
      </c>
      <c r="AH113" s="326">
        <v>0</v>
      </c>
      <c r="AI113" s="326">
        <v>0</v>
      </c>
      <c r="AJ113" s="326">
        <v>0</v>
      </c>
      <c r="AK113" s="626">
        <f t="shared" ref="AK113:AK117" si="331">SUM(AE113:AJ113)</f>
        <v>0</v>
      </c>
      <c r="AL113" s="493">
        <f>I113+AD113</f>
        <v>2968626</v>
      </c>
      <c r="AM113" s="492">
        <f>J113+U113</f>
        <v>2202245</v>
      </c>
      <c r="AN113" s="492">
        <f t="shared" ref="AN113:AN117" si="332">Y113</f>
        <v>0</v>
      </c>
      <c r="AO113" s="492">
        <f t="shared" ref="AO113:AQ117" si="333">K113+AA113</f>
        <v>744359</v>
      </c>
      <c r="AP113" s="492">
        <f t="shared" si="333"/>
        <v>22022</v>
      </c>
      <c r="AQ113" s="578">
        <f t="shared" si="333"/>
        <v>0</v>
      </c>
      <c r="AR113" s="491">
        <f t="shared" ref="AR113:AR117" si="334">N113+AK113</f>
        <v>3.82</v>
      </c>
    </row>
    <row r="114" spans="1:44" s="152" customFormat="1" ht="12.75" customHeight="1" x14ac:dyDescent="0.2">
      <c r="A114" s="154">
        <v>30</v>
      </c>
      <c r="B114" s="155">
        <v>3419</v>
      </c>
      <c r="C114" s="155">
        <v>600078434</v>
      </c>
      <c r="D114" s="155">
        <v>72742658</v>
      </c>
      <c r="E114" s="156" t="s">
        <v>62</v>
      </c>
      <c r="F114" s="155">
        <v>3113</v>
      </c>
      <c r="G114" s="156" t="s">
        <v>280</v>
      </c>
      <c r="H114" s="157" t="s">
        <v>262</v>
      </c>
      <c r="I114" s="586">
        <f>SUM(J114:L114)</f>
        <v>12164523</v>
      </c>
      <c r="J114" s="323">
        <v>9024126</v>
      </c>
      <c r="K114" s="431">
        <f t="shared" si="323"/>
        <v>3050155</v>
      </c>
      <c r="L114" s="431">
        <f>ROUND(J114*1%,0)+1</f>
        <v>90242</v>
      </c>
      <c r="M114" s="431">
        <v>0</v>
      </c>
      <c r="N114" s="784">
        <v>12.18</v>
      </c>
      <c r="O114" s="440">
        <f>V114*-1</f>
        <v>-18420</v>
      </c>
      <c r="P114" s="325">
        <v>0</v>
      </c>
      <c r="Q114" s="325">
        <v>0</v>
      </c>
      <c r="R114" s="325">
        <v>0</v>
      </c>
      <c r="S114" s="325">
        <v>0</v>
      </c>
      <c r="T114" s="325">
        <v>0</v>
      </c>
      <c r="U114" s="492">
        <f t="shared" si="325"/>
        <v>-18420</v>
      </c>
      <c r="V114" s="325">
        <v>18420</v>
      </c>
      <c r="W114" s="325">
        <v>0</v>
      </c>
      <c r="X114" s="325">
        <v>0</v>
      </c>
      <c r="Y114" s="492">
        <f t="shared" si="326"/>
        <v>18420</v>
      </c>
      <c r="Z114" s="492">
        <f t="shared" si="327"/>
        <v>0</v>
      </c>
      <c r="AA114" s="494">
        <f t="shared" si="328"/>
        <v>0</v>
      </c>
      <c r="AB114" s="494">
        <f t="shared" si="329"/>
        <v>-184</v>
      </c>
      <c r="AC114" s="492">
        <v>0</v>
      </c>
      <c r="AD114" s="789">
        <f t="shared" si="330"/>
        <v>-184</v>
      </c>
      <c r="AE114" s="715">
        <v>-0.03</v>
      </c>
      <c r="AF114" s="326">
        <v>0</v>
      </c>
      <c r="AG114" s="326">
        <v>0</v>
      </c>
      <c r="AH114" s="326">
        <v>0</v>
      </c>
      <c r="AI114" s="326">
        <v>0</v>
      </c>
      <c r="AJ114" s="326">
        <v>0</v>
      </c>
      <c r="AK114" s="626">
        <f t="shared" si="331"/>
        <v>-0.03</v>
      </c>
      <c r="AL114" s="493">
        <f>I114+AD114</f>
        <v>12164339</v>
      </c>
      <c r="AM114" s="492">
        <f>J114+U114</f>
        <v>9005706</v>
      </c>
      <c r="AN114" s="492">
        <f t="shared" si="332"/>
        <v>18420</v>
      </c>
      <c r="AO114" s="492">
        <f t="shared" si="333"/>
        <v>3050155</v>
      </c>
      <c r="AP114" s="492">
        <f t="shared" si="333"/>
        <v>90058</v>
      </c>
      <c r="AQ114" s="578">
        <f t="shared" si="333"/>
        <v>0</v>
      </c>
      <c r="AR114" s="491">
        <f t="shared" si="334"/>
        <v>12.15</v>
      </c>
    </row>
    <row r="115" spans="1:44" s="152" customFormat="1" x14ac:dyDescent="0.2">
      <c r="A115" s="154">
        <v>30</v>
      </c>
      <c r="B115" s="155">
        <v>3419</v>
      </c>
      <c r="C115" s="155">
        <v>600078434</v>
      </c>
      <c r="D115" s="155">
        <v>72742658</v>
      </c>
      <c r="E115" s="156" t="s">
        <v>62</v>
      </c>
      <c r="F115" s="155">
        <v>3113</v>
      </c>
      <c r="G115" s="156" t="s">
        <v>278</v>
      </c>
      <c r="H115" s="157" t="s">
        <v>263</v>
      </c>
      <c r="I115" s="586">
        <f>SUM(J115:L115)</f>
        <v>0</v>
      </c>
      <c r="J115" s="323"/>
      <c r="K115" s="431">
        <f t="shared" si="323"/>
        <v>0</v>
      </c>
      <c r="L115" s="431">
        <f t="shared" si="324"/>
        <v>0</v>
      </c>
      <c r="M115" s="431">
        <v>0</v>
      </c>
      <c r="N115" s="784">
        <v>0</v>
      </c>
      <c r="O115" s="440">
        <f>V115*-1</f>
        <v>0</v>
      </c>
      <c r="P115" s="325">
        <v>1018610</v>
      </c>
      <c r="Q115" s="325">
        <v>0</v>
      </c>
      <c r="R115" s="325">
        <v>0</v>
      </c>
      <c r="S115" s="325">
        <v>0</v>
      </c>
      <c r="T115" s="325">
        <v>0</v>
      </c>
      <c r="U115" s="492">
        <f t="shared" si="325"/>
        <v>1018610</v>
      </c>
      <c r="V115" s="325">
        <v>0</v>
      </c>
      <c r="W115" s="325">
        <v>0</v>
      </c>
      <c r="X115" s="325">
        <v>0</v>
      </c>
      <c r="Y115" s="492">
        <f t="shared" si="326"/>
        <v>0</v>
      </c>
      <c r="Z115" s="492">
        <f t="shared" si="327"/>
        <v>1018610</v>
      </c>
      <c r="AA115" s="494">
        <f t="shared" si="328"/>
        <v>344290</v>
      </c>
      <c r="AB115" s="494">
        <f t="shared" si="329"/>
        <v>10186</v>
      </c>
      <c r="AC115" s="492">
        <v>0</v>
      </c>
      <c r="AD115" s="789">
        <f t="shared" si="330"/>
        <v>1373086</v>
      </c>
      <c r="AE115" s="715">
        <v>0</v>
      </c>
      <c r="AF115" s="326">
        <v>2.5499999999999998</v>
      </c>
      <c r="AG115" s="326">
        <v>0</v>
      </c>
      <c r="AH115" s="326">
        <v>0</v>
      </c>
      <c r="AI115" s="326">
        <v>0</v>
      </c>
      <c r="AJ115" s="326">
        <v>0</v>
      </c>
      <c r="AK115" s="626">
        <f t="shared" si="331"/>
        <v>2.5499999999999998</v>
      </c>
      <c r="AL115" s="493">
        <f>I115+AD115</f>
        <v>1373086</v>
      </c>
      <c r="AM115" s="492">
        <f>J115+U115</f>
        <v>1018610</v>
      </c>
      <c r="AN115" s="492">
        <f t="shared" si="332"/>
        <v>0</v>
      </c>
      <c r="AO115" s="492">
        <f t="shared" si="333"/>
        <v>344290</v>
      </c>
      <c r="AP115" s="492">
        <f t="shared" si="333"/>
        <v>10186</v>
      </c>
      <c r="AQ115" s="578">
        <f t="shared" si="333"/>
        <v>0</v>
      </c>
      <c r="AR115" s="491">
        <f t="shared" si="334"/>
        <v>2.5499999999999998</v>
      </c>
    </row>
    <row r="116" spans="1:44" s="152" customFormat="1" ht="12.75" customHeight="1" x14ac:dyDescent="0.2">
      <c r="A116" s="154">
        <v>30</v>
      </c>
      <c r="B116" s="155">
        <v>3419</v>
      </c>
      <c r="C116" s="155">
        <v>600078434</v>
      </c>
      <c r="D116" s="155">
        <v>72742658</v>
      </c>
      <c r="E116" s="156" t="s">
        <v>62</v>
      </c>
      <c r="F116" s="155">
        <v>3143</v>
      </c>
      <c r="G116" s="156" t="s">
        <v>794</v>
      </c>
      <c r="H116" s="157" t="s">
        <v>262</v>
      </c>
      <c r="I116" s="586">
        <f>SUM(J116:L116)</f>
        <v>1076534</v>
      </c>
      <c r="J116" s="323">
        <v>798616</v>
      </c>
      <c r="K116" s="431">
        <f t="shared" si="323"/>
        <v>269932</v>
      </c>
      <c r="L116" s="431">
        <f t="shared" si="324"/>
        <v>7986</v>
      </c>
      <c r="M116" s="431">
        <v>0</v>
      </c>
      <c r="N116" s="784">
        <v>1.5</v>
      </c>
      <c r="O116" s="440">
        <f>V116*-1</f>
        <v>0</v>
      </c>
      <c r="P116" s="325">
        <v>0</v>
      </c>
      <c r="Q116" s="325">
        <v>0</v>
      </c>
      <c r="R116" s="325">
        <v>0</v>
      </c>
      <c r="S116" s="325">
        <v>0</v>
      </c>
      <c r="T116" s="325">
        <v>0</v>
      </c>
      <c r="U116" s="492">
        <f t="shared" si="325"/>
        <v>0</v>
      </c>
      <c r="V116" s="325">
        <v>0</v>
      </c>
      <c r="W116" s="325">
        <v>0</v>
      </c>
      <c r="X116" s="325">
        <v>0</v>
      </c>
      <c r="Y116" s="492">
        <f t="shared" si="326"/>
        <v>0</v>
      </c>
      <c r="Z116" s="492">
        <f t="shared" si="327"/>
        <v>0</v>
      </c>
      <c r="AA116" s="494">
        <f t="shared" si="328"/>
        <v>0</v>
      </c>
      <c r="AB116" s="494">
        <f t="shared" si="329"/>
        <v>0</v>
      </c>
      <c r="AC116" s="492">
        <v>0</v>
      </c>
      <c r="AD116" s="789">
        <f t="shared" si="330"/>
        <v>0</v>
      </c>
      <c r="AE116" s="715">
        <v>0</v>
      </c>
      <c r="AF116" s="326">
        <v>0</v>
      </c>
      <c r="AG116" s="326">
        <v>0</v>
      </c>
      <c r="AH116" s="326">
        <v>0</v>
      </c>
      <c r="AI116" s="326">
        <v>0</v>
      </c>
      <c r="AJ116" s="326">
        <v>0</v>
      </c>
      <c r="AK116" s="626">
        <f t="shared" si="331"/>
        <v>0</v>
      </c>
      <c r="AL116" s="493">
        <f>I116+AD116</f>
        <v>1076534</v>
      </c>
      <c r="AM116" s="492">
        <f>J116+U116</f>
        <v>798616</v>
      </c>
      <c r="AN116" s="492">
        <f t="shared" si="332"/>
        <v>0</v>
      </c>
      <c r="AO116" s="492">
        <f t="shared" si="333"/>
        <v>269932</v>
      </c>
      <c r="AP116" s="492">
        <f t="shared" si="333"/>
        <v>7986</v>
      </c>
      <c r="AQ116" s="578">
        <f t="shared" si="333"/>
        <v>0</v>
      </c>
      <c r="AR116" s="491">
        <f t="shared" si="334"/>
        <v>1.5</v>
      </c>
    </row>
    <row r="117" spans="1:44" s="152" customFormat="1" ht="12.75" customHeight="1" x14ac:dyDescent="0.2">
      <c r="A117" s="154">
        <v>30</v>
      </c>
      <c r="B117" s="155">
        <v>3419</v>
      </c>
      <c r="C117" s="155">
        <v>600078434</v>
      </c>
      <c r="D117" s="155">
        <v>72742658</v>
      </c>
      <c r="E117" s="156" t="s">
        <v>62</v>
      </c>
      <c r="F117" s="155">
        <v>3143</v>
      </c>
      <c r="G117" s="156" t="s">
        <v>282</v>
      </c>
      <c r="H117" s="157" t="s">
        <v>263</v>
      </c>
      <c r="I117" s="586">
        <f>SUM(J117:L117)</f>
        <v>186288</v>
      </c>
      <c r="J117" s="323">
        <v>138196</v>
      </c>
      <c r="K117" s="431">
        <f t="shared" si="323"/>
        <v>46710</v>
      </c>
      <c r="L117" s="431">
        <f t="shared" si="324"/>
        <v>1382</v>
      </c>
      <c r="M117" s="431">
        <v>0</v>
      </c>
      <c r="N117" s="784">
        <v>0.26</v>
      </c>
      <c r="O117" s="440">
        <f>V117*-1</f>
        <v>0</v>
      </c>
      <c r="P117" s="325">
        <v>0</v>
      </c>
      <c r="Q117" s="325">
        <v>0</v>
      </c>
      <c r="R117" s="325">
        <v>0</v>
      </c>
      <c r="S117" s="325">
        <v>0</v>
      </c>
      <c r="T117" s="325">
        <v>0</v>
      </c>
      <c r="U117" s="492">
        <f t="shared" si="325"/>
        <v>0</v>
      </c>
      <c r="V117" s="325">
        <v>0</v>
      </c>
      <c r="W117" s="325">
        <v>0</v>
      </c>
      <c r="X117" s="325">
        <v>0</v>
      </c>
      <c r="Y117" s="492">
        <f t="shared" si="326"/>
        <v>0</v>
      </c>
      <c r="Z117" s="492">
        <f t="shared" si="327"/>
        <v>0</v>
      </c>
      <c r="AA117" s="494">
        <f t="shared" si="328"/>
        <v>0</v>
      </c>
      <c r="AB117" s="494">
        <f t="shared" si="329"/>
        <v>0</v>
      </c>
      <c r="AC117" s="492">
        <v>0</v>
      </c>
      <c r="AD117" s="789">
        <f t="shared" si="330"/>
        <v>0</v>
      </c>
      <c r="AE117" s="715">
        <v>0</v>
      </c>
      <c r="AF117" s="326">
        <v>0</v>
      </c>
      <c r="AG117" s="326">
        <v>0</v>
      </c>
      <c r="AH117" s="326">
        <v>0</v>
      </c>
      <c r="AI117" s="326">
        <v>0</v>
      </c>
      <c r="AJ117" s="326">
        <v>0</v>
      </c>
      <c r="AK117" s="626">
        <f t="shared" si="331"/>
        <v>0</v>
      </c>
      <c r="AL117" s="493">
        <f>I117+AD117</f>
        <v>186288</v>
      </c>
      <c r="AM117" s="492">
        <f>J117+U117</f>
        <v>138196</v>
      </c>
      <c r="AN117" s="492">
        <f t="shared" si="332"/>
        <v>0</v>
      </c>
      <c r="AO117" s="492">
        <f t="shared" si="333"/>
        <v>46710</v>
      </c>
      <c r="AP117" s="492">
        <f t="shared" si="333"/>
        <v>1382</v>
      </c>
      <c r="AQ117" s="578">
        <f t="shared" si="333"/>
        <v>0</v>
      </c>
      <c r="AR117" s="491">
        <f t="shared" si="334"/>
        <v>0.26</v>
      </c>
    </row>
    <row r="118" spans="1:44" s="152" customFormat="1" ht="12.75" customHeight="1" x14ac:dyDescent="0.2">
      <c r="A118" s="105">
        <v>30</v>
      </c>
      <c r="B118" s="12">
        <v>3419</v>
      </c>
      <c r="C118" s="104">
        <v>600078434</v>
      </c>
      <c r="D118" s="104">
        <v>72742658</v>
      </c>
      <c r="E118" s="153" t="s">
        <v>63</v>
      </c>
      <c r="F118" s="12"/>
      <c r="G118" s="153"/>
      <c r="H118" s="407"/>
      <c r="I118" s="782">
        <f t="shared" ref="I118:AR118" si="335">SUM(I113:I117)</f>
        <v>16395971</v>
      </c>
      <c r="J118" s="378">
        <f t="shared" si="335"/>
        <v>12163183</v>
      </c>
      <c r="K118" s="378">
        <f t="shared" si="335"/>
        <v>4111156</v>
      </c>
      <c r="L118" s="378">
        <f t="shared" si="335"/>
        <v>121632</v>
      </c>
      <c r="M118" s="378">
        <f t="shared" si="335"/>
        <v>0</v>
      </c>
      <c r="N118" s="340">
        <f t="shared" si="335"/>
        <v>17.760000000000002</v>
      </c>
      <c r="O118" s="444">
        <f t="shared" si="335"/>
        <v>-18420</v>
      </c>
      <c r="P118" s="378">
        <f t="shared" si="335"/>
        <v>1018610</v>
      </c>
      <c r="Q118" s="378">
        <f t="shared" si="335"/>
        <v>0</v>
      </c>
      <c r="R118" s="378">
        <f t="shared" si="335"/>
        <v>0</v>
      </c>
      <c r="S118" s="378">
        <f t="shared" si="335"/>
        <v>0</v>
      </c>
      <c r="T118" s="378">
        <f t="shared" si="335"/>
        <v>0</v>
      </c>
      <c r="U118" s="378">
        <f t="shared" si="335"/>
        <v>1000190</v>
      </c>
      <c r="V118" s="378">
        <f t="shared" si="335"/>
        <v>18420</v>
      </c>
      <c r="W118" s="378">
        <f t="shared" si="335"/>
        <v>0</v>
      </c>
      <c r="X118" s="378">
        <f t="shared" si="335"/>
        <v>0</v>
      </c>
      <c r="Y118" s="378">
        <f t="shared" si="335"/>
        <v>18420</v>
      </c>
      <c r="Z118" s="378">
        <f t="shared" si="335"/>
        <v>1018610</v>
      </c>
      <c r="AA118" s="378">
        <f t="shared" si="335"/>
        <v>344290</v>
      </c>
      <c r="AB118" s="378">
        <f t="shared" si="335"/>
        <v>10002</v>
      </c>
      <c r="AC118" s="378">
        <f t="shared" si="335"/>
        <v>0</v>
      </c>
      <c r="AD118" s="788">
        <f t="shared" si="335"/>
        <v>1372902</v>
      </c>
      <c r="AE118" s="790">
        <f t="shared" si="335"/>
        <v>-0.03</v>
      </c>
      <c r="AF118" s="398">
        <f t="shared" si="335"/>
        <v>2.5499999999999998</v>
      </c>
      <c r="AG118" s="398">
        <f t="shared" si="335"/>
        <v>0</v>
      </c>
      <c r="AH118" s="398">
        <f t="shared" si="335"/>
        <v>0</v>
      </c>
      <c r="AI118" s="398">
        <f t="shared" si="335"/>
        <v>0</v>
      </c>
      <c r="AJ118" s="398">
        <f t="shared" si="335"/>
        <v>0</v>
      </c>
      <c r="AK118" s="340">
        <f t="shared" si="335"/>
        <v>2.52</v>
      </c>
      <c r="AL118" s="444">
        <f t="shared" si="335"/>
        <v>17768873</v>
      </c>
      <c r="AM118" s="378">
        <f t="shared" si="335"/>
        <v>13163373</v>
      </c>
      <c r="AN118" s="378">
        <f t="shared" si="335"/>
        <v>18420</v>
      </c>
      <c r="AO118" s="378">
        <f t="shared" si="335"/>
        <v>4455446</v>
      </c>
      <c r="AP118" s="378">
        <f t="shared" si="335"/>
        <v>131634</v>
      </c>
      <c r="AQ118" s="378">
        <f t="shared" si="335"/>
        <v>0</v>
      </c>
      <c r="AR118" s="398">
        <f t="shared" si="335"/>
        <v>20.28</v>
      </c>
    </row>
    <row r="119" spans="1:44" s="152" customFormat="1" ht="12.75" customHeight="1" x14ac:dyDescent="0.2">
      <c r="A119" s="154">
        <v>31</v>
      </c>
      <c r="B119" s="155">
        <v>3422</v>
      </c>
      <c r="C119" s="155">
        <v>600078591</v>
      </c>
      <c r="D119" s="155">
        <v>72742682</v>
      </c>
      <c r="E119" s="156" t="s">
        <v>64</v>
      </c>
      <c r="F119" s="155">
        <v>3111</v>
      </c>
      <c r="G119" s="156" t="s">
        <v>277</v>
      </c>
      <c r="H119" s="157" t="s">
        <v>262</v>
      </c>
      <c r="I119" s="627">
        <f>SUM(J119:L119)</f>
        <v>2636010</v>
      </c>
      <c r="J119" s="410">
        <v>1955497</v>
      </c>
      <c r="K119" s="431">
        <f t="shared" ref="K119:K122" si="336">ROUND(J119*33.8%,0)</f>
        <v>660958</v>
      </c>
      <c r="L119" s="431">
        <f t="shared" ref="L119:L122" si="337">ROUND(J119*1%,0)</f>
        <v>19555</v>
      </c>
      <c r="M119" s="431">
        <v>0</v>
      </c>
      <c r="N119" s="783">
        <v>3.8</v>
      </c>
      <c r="O119" s="445">
        <f>V119*-1</f>
        <v>0</v>
      </c>
      <c r="P119" s="325">
        <v>0</v>
      </c>
      <c r="Q119" s="325">
        <v>0</v>
      </c>
      <c r="R119" s="325">
        <v>0</v>
      </c>
      <c r="S119" s="325">
        <v>0</v>
      </c>
      <c r="T119" s="325">
        <v>0</v>
      </c>
      <c r="U119" s="492">
        <f t="shared" ref="U119:U122" si="338">O119+P119+Q119+R119+S119+T119</f>
        <v>0</v>
      </c>
      <c r="V119" s="325">
        <v>0</v>
      </c>
      <c r="W119" s="325">
        <v>0</v>
      </c>
      <c r="X119" s="325">
        <v>0</v>
      </c>
      <c r="Y119" s="492">
        <f t="shared" ref="Y119:Y122" si="339">V119+W119+X119</f>
        <v>0</v>
      </c>
      <c r="Z119" s="492">
        <f t="shared" ref="Z119:Z122" si="340">U119+Y119</f>
        <v>0</v>
      </c>
      <c r="AA119" s="494">
        <f t="shared" ref="AA119:AA122" si="341">ROUND((U119+Y119)*33.8%,0)</f>
        <v>0</v>
      </c>
      <c r="AB119" s="494">
        <f t="shared" ref="AB119:AB122" si="342">ROUND(U119*1%,0)</f>
        <v>0</v>
      </c>
      <c r="AC119" s="492">
        <v>0</v>
      </c>
      <c r="AD119" s="789">
        <f t="shared" ref="AD119:AD122" si="343">Z119+AA119+AB119+AC119</f>
        <v>0</v>
      </c>
      <c r="AE119" s="715">
        <v>0</v>
      </c>
      <c r="AF119" s="326">
        <v>0</v>
      </c>
      <c r="AG119" s="326">
        <v>0</v>
      </c>
      <c r="AH119" s="326">
        <v>0</v>
      </c>
      <c r="AI119" s="326">
        <v>0</v>
      </c>
      <c r="AJ119" s="326">
        <v>0</v>
      </c>
      <c r="AK119" s="626">
        <f t="shared" ref="AK119:AK122" si="344">SUM(AE119:AJ119)</f>
        <v>0</v>
      </c>
      <c r="AL119" s="493">
        <f>I119+AD119</f>
        <v>2636010</v>
      </c>
      <c r="AM119" s="492">
        <f>J119+U119</f>
        <v>1955497</v>
      </c>
      <c r="AN119" s="492">
        <f t="shared" ref="AN119:AN122" si="345">Y119</f>
        <v>0</v>
      </c>
      <c r="AO119" s="492">
        <f t="shared" ref="AO119:AQ122" si="346">K119+AA119</f>
        <v>660958</v>
      </c>
      <c r="AP119" s="492">
        <f t="shared" si="346"/>
        <v>19555</v>
      </c>
      <c r="AQ119" s="578">
        <f t="shared" si="346"/>
        <v>0</v>
      </c>
      <c r="AR119" s="491">
        <f t="shared" ref="AR119:AR122" si="347">N119+AK119</f>
        <v>3.8</v>
      </c>
    </row>
    <row r="120" spans="1:44" s="152" customFormat="1" ht="12.75" customHeight="1" x14ac:dyDescent="0.2">
      <c r="A120" s="154">
        <v>31</v>
      </c>
      <c r="B120" s="155">
        <v>3422</v>
      </c>
      <c r="C120" s="155">
        <v>600078591</v>
      </c>
      <c r="D120" s="155">
        <v>72742682</v>
      </c>
      <c r="E120" s="156" t="s">
        <v>64</v>
      </c>
      <c r="F120" s="155">
        <v>3113</v>
      </c>
      <c r="G120" s="156" t="s">
        <v>280</v>
      </c>
      <c r="H120" s="157" t="s">
        <v>262</v>
      </c>
      <c r="I120" s="586">
        <f>SUM(J120:L120)</f>
        <v>6936466</v>
      </c>
      <c r="J120" s="323">
        <v>5145746</v>
      </c>
      <c r="K120" s="431">
        <f t="shared" si="336"/>
        <v>1739262</v>
      </c>
      <c r="L120" s="431">
        <f>ROUND(J120*1%,0)+1</f>
        <v>51458</v>
      </c>
      <c r="M120" s="431">
        <v>0</v>
      </c>
      <c r="N120" s="784">
        <v>7.59</v>
      </c>
      <c r="O120" s="440">
        <f>V120*-1</f>
        <v>0</v>
      </c>
      <c r="P120" s="325">
        <v>0</v>
      </c>
      <c r="Q120" s="325">
        <v>83400</v>
      </c>
      <c r="R120" s="325">
        <v>0</v>
      </c>
      <c r="S120" s="325">
        <v>0</v>
      </c>
      <c r="T120" s="325">
        <v>0</v>
      </c>
      <c r="U120" s="492">
        <f t="shared" si="338"/>
        <v>83400</v>
      </c>
      <c r="V120" s="325">
        <v>0</v>
      </c>
      <c r="W120" s="325">
        <v>0</v>
      </c>
      <c r="X120" s="325">
        <v>0</v>
      </c>
      <c r="Y120" s="492">
        <f t="shared" si="339"/>
        <v>0</v>
      </c>
      <c r="Z120" s="492">
        <f t="shared" si="340"/>
        <v>83400</v>
      </c>
      <c r="AA120" s="494">
        <f t="shared" si="341"/>
        <v>28189</v>
      </c>
      <c r="AB120" s="494">
        <f t="shared" si="342"/>
        <v>834</v>
      </c>
      <c r="AC120" s="492">
        <v>0</v>
      </c>
      <c r="AD120" s="789">
        <f t="shared" si="343"/>
        <v>112423</v>
      </c>
      <c r="AE120" s="715">
        <v>0</v>
      </c>
      <c r="AF120" s="326">
        <v>0</v>
      </c>
      <c r="AG120" s="326">
        <v>0</v>
      </c>
      <c r="AH120" s="326">
        <v>0.11</v>
      </c>
      <c r="AI120" s="326">
        <v>0</v>
      </c>
      <c r="AJ120" s="326">
        <v>0</v>
      </c>
      <c r="AK120" s="626">
        <f t="shared" si="344"/>
        <v>0.11</v>
      </c>
      <c r="AL120" s="493">
        <f>I120+AD120</f>
        <v>7048889</v>
      </c>
      <c r="AM120" s="492">
        <f>J120+U120</f>
        <v>5229146</v>
      </c>
      <c r="AN120" s="492">
        <f t="shared" si="345"/>
        <v>0</v>
      </c>
      <c r="AO120" s="492">
        <f t="shared" si="346"/>
        <v>1767451</v>
      </c>
      <c r="AP120" s="492">
        <f t="shared" si="346"/>
        <v>52292</v>
      </c>
      <c r="AQ120" s="578">
        <f t="shared" si="346"/>
        <v>0</v>
      </c>
      <c r="AR120" s="491">
        <f t="shared" si="347"/>
        <v>7.7</v>
      </c>
    </row>
    <row r="121" spans="1:44" s="152" customFormat="1" x14ac:dyDescent="0.2">
      <c r="A121" s="154">
        <v>31</v>
      </c>
      <c r="B121" s="155">
        <v>3422</v>
      </c>
      <c r="C121" s="155">
        <v>600078591</v>
      </c>
      <c r="D121" s="155">
        <v>72742682</v>
      </c>
      <c r="E121" s="156" t="s">
        <v>64</v>
      </c>
      <c r="F121" s="155">
        <v>3113</v>
      </c>
      <c r="G121" s="156" t="s">
        <v>278</v>
      </c>
      <c r="H121" s="157" t="s">
        <v>263</v>
      </c>
      <c r="I121" s="586">
        <f>SUM(J121:L121)</f>
        <v>0</v>
      </c>
      <c r="J121" s="323"/>
      <c r="K121" s="431">
        <f t="shared" si="336"/>
        <v>0</v>
      </c>
      <c r="L121" s="431">
        <f t="shared" si="337"/>
        <v>0</v>
      </c>
      <c r="M121" s="431">
        <v>0</v>
      </c>
      <c r="N121" s="784">
        <v>0</v>
      </c>
      <c r="O121" s="440">
        <f>V121*-1</f>
        <v>0</v>
      </c>
      <c r="P121" s="325">
        <v>1047242</v>
      </c>
      <c r="Q121" s="325">
        <v>0</v>
      </c>
      <c r="R121" s="325">
        <v>0</v>
      </c>
      <c r="S121" s="325">
        <v>0</v>
      </c>
      <c r="T121" s="325">
        <v>0</v>
      </c>
      <c r="U121" s="492">
        <f t="shared" si="338"/>
        <v>1047242</v>
      </c>
      <c r="V121" s="325">
        <v>0</v>
      </c>
      <c r="W121" s="325">
        <v>0</v>
      </c>
      <c r="X121" s="325">
        <v>0</v>
      </c>
      <c r="Y121" s="492">
        <f t="shared" si="339"/>
        <v>0</v>
      </c>
      <c r="Z121" s="492">
        <f t="shared" si="340"/>
        <v>1047242</v>
      </c>
      <c r="AA121" s="494">
        <f t="shared" si="341"/>
        <v>353968</v>
      </c>
      <c r="AB121" s="494">
        <f t="shared" si="342"/>
        <v>10472</v>
      </c>
      <c r="AC121" s="492">
        <v>0</v>
      </c>
      <c r="AD121" s="789">
        <f t="shared" si="343"/>
        <v>1411682</v>
      </c>
      <c r="AE121" s="715">
        <v>0</v>
      </c>
      <c r="AF121" s="326">
        <v>2.64</v>
      </c>
      <c r="AG121" s="326">
        <v>0</v>
      </c>
      <c r="AH121" s="326">
        <v>0</v>
      </c>
      <c r="AI121" s="326">
        <v>0</v>
      </c>
      <c r="AJ121" s="326">
        <v>0</v>
      </c>
      <c r="AK121" s="626">
        <f t="shared" si="344"/>
        <v>2.64</v>
      </c>
      <c r="AL121" s="493">
        <f>I121+AD121</f>
        <v>1411682</v>
      </c>
      <c r="AM121" s="492">
        <f>J121+U121</f>
        <v>1047242</v>
      </c>
      <c r="AN121" s="492">
        <f t="shared" si="345"/>
        <v>0</v>
      </c>
      <c r="AO121" s="492">
        <f t="shared" si="346"/>
        <v>353968</v>
      </c>
      <c r="AP121" s="492">
        <f t="shared" si="346"/>
        <v>10472</v>
      </c>
      <c r="AQ121" s="578">
        <f t="shared" si="346"/>
        <v>0</v>
      </c>
      <c r="AR121" s="491">
        <f t="shared" si="347"/>
        <v>2.64</v>
      </c>
    </row>
    <row r="122" spans="1:44" s="152" customFormat="1" ht="12.75" customHeight="1" x14ac:dyDescent="0.2">
      <c r="A122" s="154">
        <v>31</v>
      </c>
      <c r="B122" s="155">
        <v>3422</v>
      </c>
      <c r="C122" s="155">
        <v>600078591</v>
      </c>
      <c r="D122" s="155">
        <v>72742682</v>
      </c>
      <c r="E122" s="156" t="s">
        <v>64</v>
      </c>
      <c r="F122" s="155">
        <v>3143</v>
      </c>
      <c r="G122" s="156" t="s">
        <v>795</v>
      </c>
      <c r="H122" s="157" t="s">
        <v>262</v>
      </c>
      <c r="I122" s="586">
        <f>SUM(J122:L122)</f>
        <v>386636</v>
      </c>
      <c r="J122" s="323">
        <v>286822</v>
      </c>
      <c r="K122" s="431">
        <f t="shared" si="336"/>
        <v>96946</v>
      </c>
      <c r="L122" s="431">
        <f t="shared" si="337"/>
        <v>2868</v>
      </c>
      <c r="M122" s="431">
        <v>0</v>
      </c>
      <c r="N122" s="784">
        <v>0.54</v>
      </c>
      <c r="O122" s="440">
        <f>V122*-1</f>
        <v>0</v>
      </c>
      <c r="P122" s="325">
        <v>0</v>
      </c>
      <c r="Q122" s="325">
        <v>0</v>
      </c>
      <c r="R122" s="325">
        <v>0</v>
      </c>
      <c r="S122" s="325">
        <v>0</v>
      </c>
      <c r="T122" s="325">
        <v>0</v>
      </c>
      <c r="U122" s="492">
        <f t="shared" si="338"/>
        <v>0</v>
      </c>
      <c r="V122" s="325">
        <v>0</v>
      </c>
      <c r="W122" s="325">
        <v>0</v>
      </c>
      <c r="X122" s="325">
        <v>0</v>
      </c>
      <c r="Y122" s="492">
        <f t="shared" si="339"/>
        <v>0</v>
      </c>
      <c r="Z122" s="492">
        <f t="shared" si="340"/>
        <v>0</v>
      </c>
      <c r="AA122" s="494">
        <f t="shared" si="341"/>
        <v>0</v>
      </c>
      <c r="AB122" s="494">
        <f t="shared" si="342"/>
        <v>0</v>
      </c>
      <c r="AC122" s="492">
        <v>0</v>
      </c>
      <c r="AD122" s="789">
        <f t="shared" si="343"/>
        <v>0</v>
      </c>
      <c r="AE122" s="715">
        <v>0</v>
      </c>
      <c r="AF122" s="326">
        <v>0</v>
      </c>
      <c r="AG122" s="326">
        <v>0</v>
      </c>
      <c r="AH122" s="326">
        <v>0</v>
      </c>
      <c r="AI122" s="326">
        <v>0</v>
      </c>
      <c r="AJ122" s="326">
        <v>0</v>
      </c>
      <c r="AK122" s="626">
        <f t="shared" si="344"/>
        <v>0</v>
      </c>
      <c r="AL122" s="493">
        <f>I122+AD122</f>
        <v>386636</v>
      </c>
      <c r="AM122" s="492">
        <f>J122+U122</f>
        <v>286822</v>
      </c>
      <c r="AN122" s="492">
        <f t="shared" si="345"/>
        <v>0</v>
      </c>
      <c r="AO122" s="492">
        <f t="shared" si="346"/>
        <v>96946</v>
      </c>
      <c r="AP122" s="492">
        <f t="shared" si="346"/>
        <v>2868</v>
      </c>
      <c r="AQ122" s="578">
        <f t="shared" si="346"/>
        <v>0</v>
      </c>
      <c r="AR122" s="491">
        <f t="shared" si="347"/>
        <v>0.54</v>
      </c>
    </row>
    <row r="123" spans="1:44" s="152" customFormat="1" ht="12.75" customHeight="1" x14ac:dyDescent="0.2">
      <c r="A123" s="105">
        <v>31</v>
      </c>
      <c r="B123" s="12">
        <v>3422</v>
      </c>
      <c r="C123" s="104">
        <v>600078591</v>
      </c>
      <c r="D123" s="104">
        <v>72742682</v>
      </c>
      <c r="E123" s="153" t="s">
        <v>65</v>
      </c>
      <c r="F123" s="12"/>
      <c r="G123" s="153"/>
      <c r="H123" s="407"/>
      <c r="I123" s="782">
        <f t="shared" ref="I123:AR123" si="348">SUM(I119:I122)</f>
        <v>9959112</v>
      </c>
      <c r="J123" s="378">
        <f t="shared" si="348"/>
        <v>7388065</v>
      </c>
      <c r="K123" s="378">
        <f t="shared" si="348"/>
        <v>2497166</v>
      </c>
      <c r="L123" s="378">
        <f t="shared" si="348"/>
        <v>73881</v>
      </c>
      <c r="M123" s="378">
        <f t="shared" si="348"/>
        <v>0</v>
      </c>
      <c r="N123" s="340">
        <f t="shared" si="348"/>
        <v>11.93</v>
      </c>
      <c r="O123" s="444">
        <f t="shared" si="348"/>
        <v>0</v>
      </c>
      <c r="P123" s="378">
        <f t="shared" si="348"/>
        <v>1047242</v>
      </c>
      <c r="Q123" s="378">
        <f t="shared" si="348"/>
        <v>83400</v>
      </c>
      <c r="R123" s="378">
        <f t="shared" si="348"/>
        <v>0</v>
      </c>
      <c r="S123" s="378">
        <f t="shared" si="348"/>
        <v>0</v>
      </c>
      <c r="T123" s="378">
        <f t="shared" si="348"/>
        <v>0</v>
      </c>
      <c r="U123" s="378">
        <f t="shared" si="348"/>
        <v>1130642</v>
      </c>
      <c r="V123" s="378">
        <f t="shared" si="348"/>
        <v>0</v>
      </c>
      <c r="W123" s="378">
        <f t="shared" si="348"/>
        <v>0</v>
      </c>
      <c r="X123" s="378">
        <f t="shared" si="348"/>
        <v>0</v>
      </c>
      <c r="Y123" s="378">
        <f t="shared" si="348"/>
        <v>0</v>
      </c>
      <c r="Z123" s="378">
        <f t="shared" si="348"/>
        <v>1130642</v>
      </c>
      <c r="AA123" s="378">
        <f t="shared" si="348"/>
        <v>382157</v>
      </c>
      <c r="AB123" s="378">
        <f t="shared" si="348"/>
        <v>11306</v>
      </c>
      <c r="AC123" s="378">
        <f t="shared" si="348"/>
        <v>0</v>
      </c>
      <c r="AD123" s="788">
        <f t="shared" si="348"/>
        <v>1524105</v>
      </c>
      <c r="AE123" s="790">
        <f t="shared" si="348"/>
        <v>0</v>
      </c>
      <c r="AF123" s="398">
        <f t="shared" si="348"/>
        <v>2.64</v>
      </c>
      <c r="AG123" s="398">
        <f t="shared" si="348"/>
        <v>0</v>
      </c>
      <c r="AH123" s="398">
        <f t="shared" si="348"/>
        <v>0.11</v>
      </c>
      <c r="AI123" s="398">
        <f t="shared" si="348"/>
        <v>0</v>
      </c>
      <c r="AJ123" s="398">
        <f t="shared" si="348"/>
        <v>0</v>
      </c>
      <c r="AK123" s="340">
        <f t="shared" si="348"/>
        <v>2.75</v>
      </c>
      <c r="AL123" s="444">
        <f t="shared" si="348"/>
        <v>11483217</v>
      </c>
      <c r="AM123" s="378">
        <f t="shared" si="348"/>
        <v>8518707</v>
      </c>
      <c r="AN123" s="378">
        <f t="shared" si="348"/>
        <v>0</v>
      </c>
      <c r="AO123" s="378">
        <f t="shared" si="348"/>
        <v>2879323</v>
      </c>
      <c r="AP123" s="378">
        <f t="shared" si="348"/>
        <v>85187</v>
      </c>
      <c r="AQ123" s="378">
        <f t="shared" si="348"/>
        <v>0</v>
      </c>
      <c r="AR123" s="398">
        <f t="shared" si="348"/>
        <v>14.68</v>
      </c>
    </row>
    <row r="124" spans="1:44" s="152" customFormat="1" ht="12.75" customHeight="1" x14ac:dyDescent="0.2">
      <c r="A124" s="154">
        <v>32</v>
      </c>
      <c r="B124" s="155">
        <v>3426</v>
      </c>
      <c r="C124" s="155">
        <v>600078019</v>
      </c>
      <c r="D124" s="155">
        <v>72742470</v>
      </c>
      <c r="E124" s="156" t="s">
        <v>66</v>
      </c>
      <c r="F124" s="155">
        <v>3111</v>
      </c>
      <c r="G124" s="156" t="s">
        <v>277</v>
      </c>
      <c r="H124" s="157" t="s">
        <v>262</v>
      </c>
      <c r="I124" s="627">
        <f>SUM(J124:L124)</f>
        <v>4920718</v>
      </c>
      <c r="J124" s="410">
        <v>3650384</v>
      </c>
      <c r="K124" s="431">
        <f t="shared" ref="K124:K125" si="349">ROUND(J124*33.8%,0)</f>
        <v>1233830</v>
      </c>
      <c r="L124" s="431">
        <f t="shared" ref="L124:L125" si="350">ROUND(J124*1%,0)</f>
        <v>36504</v>
      </c>
      <c r="M124" s="431">
        <v>0</v>
      </c>
      <c r="N124" s="783">
        <v>6</v>
      </c>
      <c r="O124" s="445">
        <f>V124*-1</f>
        <v>0</v>
      </c>
      <c r="P124" s="325">
        <v>0</v>
      </c>
      <c r="Q124" s="325">
        <v>0</v>
      </c>
      <c r="R124" s="325">
        <v>0</v>
      </c>
      <c r="S124" s="325">
        <v>0</v>
      </c>
      <c r="T124" s="325">
        <v>0</v>
      </c>
      <c r="U124" s="492">
        <f t="shared" ref="U124:U125" si="351">O124+P124+Q124+R124+S124+T124</f>
        <v>0</v>
      </c>
      <c r="V124" s="325">
        <v>0</v>
      </c>
      <c r="W124" s="325">
        <v>0</v>
      </c>
      <c r="X124" s="325">
        <v>0</v>
      </c>
      <c r="Y124" s="492">
        <f t="shared" ref="Y124:Y125" si="352">V124+W124+X124</f>
        <v>0</v>
      </c>
      <c r="Z124" s="492">
        <f t="shared" ref="Z124:Z125" si="353">U124+Y124</f>
        <v>0</v>
      </c>
      <c r="AA124" s="494">
        <f t="shared" ref="AA124:AA125" si="354">ROUND((U124+Y124)*33.8%,0)</f>
        <v>0</v>
      </c>
      <c r="AB124" s="494">
        <f t="shared" ref="AB124:AB125" si="355">ROUND(U124*1%,0)</f>
        <v>0</v>
      </c>
      <c r="AC124" s="492">
        <v>0</v>
      </c>
      <c r="AD124" s="789">
        <f t="shared" ref="AD124:AD125" si="356">Z124+AA124+AB124+AC124</f>
        <v>0</v>
      </c>
      <c r="AE124" s="715">
        <v>0</v>
      </c>
      <c r="AF124" s="326">
        <v>0</v>
      </c>
      <c r="AG124" s="326">
        <v>0</v>
      </c>
      <c r="AH124" s="326">
        <v>0</v>
      </c>
      <c r="AI124" s="326">
        <v>0</v>
      </c>
      <c r="AJ124" s="326">
        <v>0</v>
      </c>
      <c r="AK124" s="626">
        <f t="shared" ref="AK124:AK125" si="357">SUM(AE124:AJ124)</f>
        <v>0</v>
      </c>
      <c r="AL124" s="493">
        <f>I124+AD124</f>
        <v>4920718</v>
      </c>
      <c r="AM124" s="492">
        <f>J124+U124</f>
        <v>3650384</v>
      </c>
      <c r="AN124" s="492">
        <f t="shared" ref="AN124:AN125" si="358">Y124</f>
        <v>0</v>
      </c>
      <c r="AO124" s="492">
        <f>K124+AA124</f>
        <v>1233830</v>
      </c>
      <c r="AP124" s="492">
        <f>L124+AB124</f>
        <v>36504</v>
      </c>
      <c r="AQ124" s="578">
        <f t="shared" ref="AQ124:AQ125" si="359">M124+AC124</f>
        <v>0</v>
      </c>
      <c r="AR124" s="491">
        <f t="shared" ref="AR124:AR125" si="360">N124+AK124</f>
        <v>6</v>
      </c>
    </row>
    <row r="125" spans="1:44" s="152" customFormat="1" x14ac:dyDescent="0.2">
      <c r="A125" s="154">
        <v>32</v>
      </c>
      <c r="B125" s="155">
        <v>3426</v>
      </c>
      <c r="C125" s="155">
        <v>600078019</v>
      </c>
      <c r="D125" s="155">
        <v>72742470</v>
      </c>
      <c r="E125" s="156" t="s">
        <v>66</v>
      </c>
      <c r="F125" s="155">
        <v>3111</v>
      </c>
      <c r="G125" s="156" t="s">
        <v>278</v>
      </c>
      <c r="H125" s="157" t="s">
        <v>263</v>
      </c>
      <c r="I125" s="586">
        <f>SUM(J125:L125)</f>
        <v>0</v>
      </c>
      <c r="J125" s="323"/>
      <c r="K125" s="431">
        <f t="shared" si="349"/>
        <v>0</v>
      </c>
      <c r="L125" s="431">
        <f t="shared" si="350"/>
        <v>0</v>
      </c>
      <c r="M125" s="431">
        <v>0</v>
      </c>
      <c r="N125" s="784">
        <v>0</v>
      </c>
      <c r="O125" s="440">
        <f>V125*-1</f>
        <v>0</v>
      </c>
      <c r="P125" s="325">
        <v>694483</v>
      </c>
      <c r="Q125" s="325">
        <v>0</v>
      </c>
      <c r="R125" s="325">
        <v>0</v>
      </c>
      <c r="S125" s="325">
        <v>0</v>
      </c>
      <c r="T125" s="325">
        <v>0</v>
      </c>
      <c r="U125" s="492">
        <f t="shared" si="351"/>
        <v>694483</v>
      </c>
      <c r="V125" s="325">
        <v>0</v>
      </c>
      <c r="W125" s="325">
        <v>0</v>
      </c>
      <c r="X125" s="325">
        <v>0</v>
      </c>
      <c r="Y125" s="492">
        <f t="shared" si="352"/>
        <v>0</v>
      </c>
      <c r="Z125" s="492">
        <f t="shared" si="353"/>
        <v>694483</v>
      </c>
      <c r="AA125" s="494">
        <f t="shared" si="354"/>
        <v>234735</v>
      </c>
      <c r="AB125" s="494">
        <f t="shared" si="355"/>
        <v>6945</v>
      </c>
      <c r="AC125" s="492">
        <v>0</v>
      </c>
      <c r="AD125" s="789">
        <f t="shared" si="356"/>
        <v>936163</v>
      </c>
      <c r="AE125" s="715">
        <v>0</v>
      </c>
      <c r="AF125" s="326">
        <v>1.75</v>
      </c>
      <c r="AG125" s="326">
        <v>0</v>
      </c>
      <c r="AH125" s="326">
        <v>0</v>
      </c>
      <c r="AI125" s="326">
        <v>0</v>
      </c>
      <c r="AJ125" s="326">
        <v>0</v>
      </c>
      <c r="AK125" s="626">
        <f t="shared" si="357"/>
        <v>1.75</v>
      </c>
      <c r="AL125" s="493">
        <f>I125+AD125</f>
        <v>936163</v>
      </c>
      <c r="AM125" s="492">
        <f>J125+U125</f>
        <v>694483</v>
      </c>
      <c r="AN125" s="492">
        <f t="shared" si="358"/>
        <v>0</v>
      </c>
      <c r="AO125" s="492">
        <f>K125+AA125</f>
        <v>234735</v>
      </c>
      <c r="AP125" s="492">
        <f>L125+AB125</f>
        <v>6945</v>
      </c>
      <c r="AQ125" s="578">
        <f t="shared" si="359"/>
        <v>0</v>
      </c>
      <c r="AR125" s="491">
        <f t="shared" si="360"/>
        <v>1.75</v>
      </c>
    </row>
    <row r="126" spans="1:44" s="152" customFormat="1" ht="12.75" customHeight="1" x14ac:dyDescent="0.2">
      <c r="A126" s="105">
        <v>32</v>
      </c>
      <c r="B126" s="12">
        <v>3426</v>
      </c>
      <c r="C126" s="104">
        <v>600078019</v>
      </c>
      <c r="D126" s="104">
        <v>72742470</v>
      </c>
      <c r="E126" s="153" t="s">
        <v>67</v>
      </c>
      <c r="F126" s="12"/>
      <c r="G126" s="153"/>
      <c r="H126" s="407"/>
      <c r="I126" s="782">
        <f t="shared" ref="I126:AR126" si="361">SUM(I124:I125)</f>
        <v>4920718</v>
      </c>
      <c r="J126" s="378">
        <f t="shared" si="361"/>
        <v>3650384</v>
      </c>
      <c r="K126" s="378">
        <f t="shared" si="361"/>
        <v>1233830</v>
      </c>
      <c r="L126" s="378">
        <f t="shared" si="361"/>
        <v>36504</v>
      </c>
      <c r="M126" s="378">
        <f t="shared" si="361"/>
        <v>0</v>
      </c>
      <c r="N126" s="340">
        <f t="shared" si="361"/>
        <v>6</v>
      </c>
      <c r="O126" s="444">
        <f t="shared" si="361"/>
        <v>0</v>
      </c>
      <c r="P126" s="378">
        <f t="shared" si="361"/>
        <v>694483</v>
      </c>
      <c r="Q126" s="378">
        <f t="shared" si="361"/>
        <v>0</v>
      </c>
      <c r="R126" s="378">
        <f t="shared" si="361"/>
        <v>0</v>
      </c>
      <c r="S126" s="378">
        <f t="shared" si="361"/>
        <v>0</v>
      </c>
      <c r="T126" s="378">
        <f t="shared" si="361"/>
        <v>0</v>
      </c>
      <c r="U126" s="378">
        <f t="shared" si="361"/>
        <v>694483</v>
      </c>
      <c r="V126" s="378">
        <f t="shared" si="361"/>
        <v>0</v>
      </c>
      <c r="W126" s="378">
        <f t="shared" si="361"/>
        <v>0</v>
      </c>
      <c r="X126" s="378">
        <f t="shared" si="361"/>
        <v>0</v>
      </c>
      <c r="Y126" s="378">
        <f t="shared" si="361"/>
        <v>0</v>
      </c>
      <c r="Z126" s="378">
        <f t="shared" si="361"/>
        <v>694483</v>
      </c>
      <c r="AA126" s="378">
        <f t="shared" si="361"/>
        <v>234735</v>
      </c>
      <c r="AB126" s="378">
        <f t="shared" si="361"/>
        <v>6945</v>
      </c>
      <c r="AC126" s="378">
        <f t="shared" si="361"/>
        <v>0</v>
      </c>
      <c r="AD126" s="788">
        <f t="shared" si="361"/>
        <v>936163</v>
      </c>
      <c r="AE126" s="790">
        <f t="shared" si="361"/>
        <v>0</v>
      </c>
      <c r="AF126" s="398">
        <f t="shared" si="361"/>
        <v>1.75</v>
      </c>
      <c r="AG126" s="398">
        <f t="shared" si="361"/>
        <v>0</v>
      </c>
      <c r="AH126" s="398">
        <f t="shared" si="361"/>
        <v>0</v>
      </c>
      <c r="AI126" s="398">
        <f t="shared" si="361"/>
        <v>0</v>
      </c>
      <c r="AJ126" s="398">
        <f t="shared" si="361"/>
        <v>0</v>
      </c>
      <c r="AK126" s="340">
        <f t="shared" si="361"/>
        <v>1.75</v>
      </c>
      <c r="AL126" s="444">
        <f t="shared" si="361"/>
        <v>5856881</v>
      </c>
      <c r="AM126" s="378">
        <f t="shared" si="361"/>
        <v>4344867</v>
      </c>
      <c r="AN126" s="378">
        <f t="shared" si="361"/>
        <v>0</v>
      </c>
      <c r="AO126" s="378">
        <f t="shared" si="361"/>
        <v>1468565</v>
      </c>
      <c r="AP126" s="378">
        <f t="shared" si="361"/>
        <v>43449</v>
      </c>
      <c r="AQ126" s="378">
        <f t="shared" si="361"/>
        <v>0</v>
      </c>
      <c r="AR126" s="398">
        <f t="shared" si="361"/>
        <v>7.75</v>
      </c>
    </row>
    <row r="127" spans="1:44" s="152" customFormat="1" ht="12.75" customHeight="1" x14ac:dyDescent="0.2">
      <c r="A127" s="154">
        <v>33</v>
      </c>
      <c r="B127" s="155">
        <v>3425</v>
      </c>
      <c r="C127" s="155">
        <v>600078451</v>
      </c>
      <c r="D127" s="155">
        <v>72742551</v>
      </c>
      <c r="E127" s="156" t="s">
        <v>68</v>
      </c>
      <c r="F127" s="155">
        <v>3113</v>
      </c>
      <c r="G127" s="156" t="s">
        <v>280</v>
      </c>
      <c r="H127" s="157" t="s">
        <v>262</v>
      </c>
      <c r="I127" s="627">
        <f>SUM(J127:L127)</f>
        <v>12022202</v>
      </c>
      <c r="J127" s="410">
        <v>8918548</v>
      </c>
      <c r="K127" s="431">
        <f t="shared" ref="K127:K129" si="362">ROUND(J127*33.8%,0)</f>
        <v>3014469</v>
      </c>
      <c r="L127" s="431">
        <f t="shared" ref="L127:L129" si="363">ROUND(J127*1%,0)</f>
        <v>89185</v>
      </c>
      <c r="M127" s="431">
        <v>0</v>
      </c>
      <c r="N127" s="783">
        <v>12.32</v>
      </c>
      <c r="O127" s="445">
        <f>V127*-1</f>
        <v>-11520</v>
      </c>
      <c r="P127" s="325">
        <v>0</v>
      </c>
      <c r="Q127" s="325">
        <v>15290</v>
      </c>
      <c r="R127" s="325">
        <v>0</v>
      </c>
      <c r="S127" s="325">
        <v>0</v>
      </c>
      <c r="T127" s="325">
        <v>0</v>
      </c>
      <c r="U127" s="492">
        <f t="shared" ref="U127:U129" si="364">O127+P127+Q127+R127+S127+T127</f>
        <v>3770</v>
      </c>
      <c r="V127" s="325">
        <v>11520</v>
      </c>
      <c r="W127" s="325">
        <v>0</v>
      </c>
      <c r="X127" s="325">
        <v>0</v>
      </c>
      <c r="Y127" s="492">
        <f t="shared" ref="Y127:Y129" si="365">V127+W127+X127</f>
        <v>11520</v>
      </c>
      <c r="Z127" s="492">
        <f t="shared" ref="Z127:Z129" si="366">U127+Y127</f>
        <v>15290</v>
      </c>
      <c r="AA127" s="494">
        <f t="shared" ref="AA127:AA129" si="367">ROUND((U127+Y127)*33.8%,0)</f>
        <v>5168</v>
      </c>
      <c r="AB127" s="494">
        <f t="shared" ref="AB127:AB129" si="368">ROUND(U127*1%,0)</f>
        <v>38</v>
      </c>
      <c r="AC127" s="492">
        <v>0</v>
      </c>
      <c r="AD127" s="789">
        <f t="shared" ref="AD127:AD129" si="369">Z127+AA127+AB127+AC127</f>
        <v>20496</v>
      </c>
      <c r="AE127" s="715">
        <v>-0.02</v>
      </c>
      <c r="AF127" s="326">
        <v>0</v>
      </c>
      <c r="AG127" s="326">
        <v>0</v>
      </c>
      <c r="AH127" s="326">
        <v>0.02</v>
      </c>
      <c r="AI127" s="326">
        <v>0</v>
      </c>
      <c r="AJ127" s="326">
        <v>0</v>
      </c>
      <c r="AK127" s="626">
        <f t="shared" ref="AK127:AK129" si="370">SUM(AE127:AJ127)</f>
        <v>0</v>
      </c>
      <c r="AL127" s="493">
        <f>I127+AD127</f>
        <v>12042698</v>
      </c>
      <c r="AM127" s="492">
        <f>J127+U127</f>
        <v>8922318</v>
      </c>
      <c r="AN127" s="492">
        <f t="shared" ref="AN127:AN129" si="371">Y127</f>
        <v>11520</v>
      </c>
      <c r="AO127" s="492">
        <f t="shared" ref="AO127:AQ129" si="372">K127+AA127</f>
        <v>3019637</v>
      </c>
      <c r="AP127" s="492">
        <f t="shared" si="372"/>
        <v>89223</v>
      </c>
      <c r="AQ127" s="578">
        <f t="shared" si="372"/>
        <v>0</v>
      </c>
      <c r="AR127" s="491">
        <f t="shared" ref="AR127:AR129" si="373">N127+AK127</f>
        <v>12.32</v>
      </c>
    </row>
    <row r="128" spans="1:44" s="152" customFormat="1" x14ac:dyDescent="0.2">
      <c r="A128" s="154">
        <v>33</v>
      </c>
      <c r="B128" s="155">
        <v>3425</v>
      </c>
      <c r="C128" s="155">
        <v>600078451</v>
      </c>
      <c r="D128" s="155">
        <v>72742551</v>
      </c>
      <c r="E128" s="156" t="s">
        <v>68</v>
      </c>
      <c r="F128" s="155">
        <v>3113</v>
      </c>
      <c r="G128" s="156" t="s">
        <v>278</v>
      </c>
      <c r="H128" s="157" t="s">
        <v>263</v>
      </c>
      <c r="I128" s="586">
        <f>SUM(J128:L128)</f>
        <v>0</v>
      </c>
      <c r="J128" s="323"/>
      <c r="K128" s="431">
        <f t="shared" si="362"/>
        <v>0</v>
      </c>
      <c r="L128" s="431">
        <f t="shared" si="363"/>
        <v>0</v>
      </c>
      <c r="M128" s="431">
        <v>0</v>
      </c>
      <c r="N128" s="784">
        <v>0</v>
      </c>
      <c r="O128" s="440">
        <f>V128*-1</f>
        <v>0</v>
      </c>
      <c r="P128" s="325">
        <v>1479469</v>
      </c>
      <c r="Q128" s="325">
        <v>0</v>
      </c>
      <c r="R128" s="325">
        <v>0</v>
      </c>
      <c r="S128" s="325">
        <v>0</v>
      </c>
      <c r="T128" s="325">
        <v>0</v>
      </c>
      <c r="U128" s="492">
        <f t="shared" si="364"/>
        <v>1479469</v>
      </c>
      <c r="V128" s="325">
        <v>0</v>
      </c>
      <c r="W128" s="325">
        <v>0</v>
      </c>
      <c r="X128" s="325">
        <v>0</v>
      </c>
      <c r="Y128" s="492">
        <f t="shared" si="365"/>
        <v>0</v>
      </c>
      <c r="Z128" s="492">
        <f t="shared" si="366"/>
        <v>1479469</v>
      </c>
      <c r="AA128" s="494">
        <f t="shared" si="367"/>
        <v>500061</v>
      </c>
      <c r="AB128" s="494">
        <f t="shared" si="368"/>
        <v>14795</v>
      </c>
      <c r="AC128" s="492">
        <v>0</v>
      </c>
      <c r="AD128" s="789">
        <f t="shared" si="369"/>
        <v>1994325</v>
      </c>
      <c r="AE128" s="715">
        <v>0</v>
      </c>
      <c r="AF128" s="326">
        <v>3.68</v>
      </c>
      <c r="AG128" s="326">
        <v>0</v>
      </c>
      <c r="AH128" s="326">
        <v>0</v>
      </c>
      <c r="AI128" s="326">
        <v>0</v>
      </c>
      <c r="AJ128" s="326">
        <v>0</v>
      </c>
      <c r="AK128" s="626">
        <f t="shared" si="370"/>
        <v>3.68</v>
      </c>
      <c r="AL128" s="493">
        <f>I128+AD128</f>
        <v>1994325</v>
      </c>
      <c r="AM128" s="492">
        <f>J128+U128</f>
        <v>1479469</v>
      </c>
      <c r="AN128" s="492">
        <f t="shared" si="371"/>
        <v>0</v>
      </c>
      <c r="AO128" s="492">
        <f t="shared" si="372"/>
        <v>500061</v>
      </c>
      <c r="AP128" s="492">
        <f t="shared" si="372"/>
        <v>14795</v>
      </c>
      <c r="AQ128" s="578">
        <f t="shared" si="372"/>
        <v>0</v>
      </c>
      <c r="AR128" s="491">
        <f t="shared" si="373"/>
        <v>3.68</v>
      </c>
    </row>
    <row r="129" spans="1:44" s="152" customFormat="1" ht="12.75" customHeight="1" x14ac:dyDescent="0.2">
      <c r="A129" s="154">
        <v>33</v>
      </c>
      <c r="B129" s="155">
        <v>3425</v>
      </c>
      <c r="C129" s="155">
        <v>600078451</v>
      </c>
      <c r="D129" s="155">
        <v>72742551</v>
      </c>
      <c r="E129" s="156" t="s">
        <v>68</v>
      </c>
      <c r="F129" s="155">
        <v>3143</v>
      </c>
      <c r="G129" s="156" t="s">
        <v>794</v>
      </c>
      <c r="H129" s="157" t="s">
        <v>262</v>
      </c>
      <c r="I129" s="586">
        <f>SUM(J129:L129)</f>
        <v>1530781</v>
      </c>
      <c r="J129" s="323">
        <v>1135594</v>
      </c>
      <c r="K129" s="431">
        <f t="shared" si="362"/>
        <v>383831</v>
      </c>
      <c r="L129" s="431">
        <f t="shared" si="363"/>
        <v>11356</v>
      </c>
      <c r="M129" s="431">
        <v>0</v>
      </c>
      <c r="N129" s="784">
        <v>2</v>
      </c>
      <c r="O129" s="440">
        <f>V129*-1</f>
        <v>0</v>
      </c>
      <c r="P129" s="325">
        <v>0</v>
      </c>
      <c r="Q129" s="325">
        <v>0</v>
      </c>
      <c r="R129" s="325">
        <v>0</v>
      </c>
      <c r="S129" s="325">
        <v>0</v>
      </c>
      <c r="T129" s="325">
        <v>0</v>
      </c>
      <c r="U129" s="492">
        <f t="shared" si="364"/>
        <v>0</v>
      </c>
      <c r="V129" s="325">
        <v>0</v>
      </c>
      <c r="W129" s="325">
        <v>0</v>
      </c>
      <c r="X129" s="325">
        <v>0</v>
      </c>
      <c r="Y129" s="492">
        <f t="shared" si="365"/>
        <v>0</v>
      </c>
      <c r="Z129" s="492">
        <f t="shared" si="366"/>
        <v>0</v>
      </c>
      <c r="AA129" s="494">
        <f t="shared" si="367"/>
        <v>0</v>
      </c>
      <c r="AB129" s="494">
        <f t="shared" si="368"/>
        <v>0</v>
      </c>
      <c r="AC129" s="492">
        <v>0</v>
      </c>
      <c r="AD129" s="789">
        <f t="shared" si="369"/>
        <v>0</v>
      </c>
      <c r="AE129" s="715">
        <v>0</v>
      </c>
      <c r="AF129" s="326">
        <v>0</v>
      </c>
      <c r="AG129" s="326">
        <v>0</v>
      </c>
      <c r="AH129" s="326">
        <v>0</v>
      </c>
      <c r="AI129" s="326">
        <v>0</v>
      </c>
      <c r="AJ129" s="326">
        <v>0</v>
      </c>
      <c r="AK129" s="626">
        <f t="shared" si="370"/>
        <v>0</v>
      </c>
      <c r="AL129" s="493">
        <f>I129+AD129</f>
        <v>1530781</v>
      </c>
      <c r="AM129" s="492">
        <f>J129+U129</f>
        <v>1135594</v>
      </c>
      <c r="AN129" s="492">
        <f t="shared" si="371"/>
        <v>0</v>
      </c>
      <c r="AO129" s="492">
        <f t="shared" si="372"/>
        <v>383831</v>
      </c>
      <c r="AP129" s="492">
        <f t="shared" si="372"/>
        <v>11356</v>
      </c>
      <c r="AQ129" s="578">
        <f t="shared" si="372"/>
        <v>0</v>
      </c>
      <c r="AR129" s="491">
        <f t="shared" si="373"/>
        <v>2</v>
      </c>
    </row>
    <row r="130" spans="1:44" s="152" customFormat="1" ht="12.75" customHeight="1" x14ac:dyDescent="0.2">
      <c r="A130" s="105">
        <v>33</v>
      </c>
      <c r="B130" s="12">
        <v>3425</v>
      </c>
      <c r="C130" s="104">
        <v>600078451</v>
      </c>
      <c r="D130" s="104">
        <v>72742551</v>
      </c>
      <c r="E130" s="153" t="s">
        <v>69</v>
      </c>
      <c r="F130" s="12"/>
      <c r="G130" s="153"/>
      <c r="H130" s="407"/>
      <c r="I130" s="782">
        <f t="shared" ref="I130:AR130" si="374">SUM(I127:I129)</f>
        <v>13552983</v>
      </c>
      <c r="J130" s="378">
        <f t="shared" si="374"/>
        <v>10054142</v>
      </c>
      <c r="K130" s="378">
        <f t="shared" si="374"/>
        <v>3398300</v>
      </c>
      <c r="L130" s="378">
        <f t="shared" si="374"/>
        <v>100541</v>
      </c>
      <c r="M130" s="378">
        <f t="shared" si="374"/>
        <v>0</v>
      </c>
      <c r="N130" s="340">
        <f t="shared" si="374"/>
        <v>14.32</v>
      </c>
      <c r="O130" s="444">
        <f t="shared" si="374"/>
        <v>-11520</v>
      </c>
      <c r="P130" s="378">
        <f t="shared" si="374"/>
        <v>1479469</v>
      </c>
      <c r="Q130" s="378">
        <f t="shared" si="374"/>
        <v>15290</v>
      </c>
      <c r="R130" s="378">
        <f t="shared" si="374"/>
        <v>0</v>
      </c>
      <c r="S130" s="378">
        <f t="shared" si="374"/>
        <v>0</v>
      </c>
      <c r="T130" s="378">
        <f t="shared" si="374"/>
        <v>0</v>
      </c>
      <c r="U130" s="378">
        <f t="shared" si="374"/>
        <v>1483239</v>
      </c>
      <c r="V130" s="378">
        <f t="shared" si="374"/>
        <v>11520</v>
      </c>
      <c r="W130" s="378">
        <f t="shared" si="374"/>
        <v>0</v>
      </c>
      <c r="X130" s="378">
        <f t="shared" si="374"/>
        <v>0</v>
      </c>
      <c r="Y130" s="378">
        <f t="shared" si="374"/>
        <v>11520</v>
      </c>
      <c r="Z130" s="378">
        <f t="shared" si="374"/>
        <v>1494759</v>
      </c>
      <c r="AA130" s="378">
        <f t="shared" si="374"/>
        <v>505229</v>
      </c>
      <c r="AB130" s="378">
        <f t="shared" si="374"/>
        <v>14833</v>
      </c>
      <c r="AC130" s="378">
        <f t="shared" si="374"/>
        <v>0</v>
      </c>
      <c r="AD130" s="788">
        <f t="shared" si="374"/>
        <v>2014821</v>
      </c>
      <c r="AE130" s="790">
        <f t="shared" si="374"/>
        <v>-0.02</v>
      </c>
      <c r="AF130" s="398">
        <f t="shared" si="374"/>
        <v>3.68</v>
      </c>
      <c r="AG130" s="398">
        <f t="shared" si="374"/>
        <v>0</v>
      </c>
      <c r="AH130" s="398">
        <f t="shared" si="374"/>
        <v>0.02</v>
      </c>
      <c r="AI130" s="398">
        <f t="shared" si="374"/>
        <v>0</v>
      </c>
      <c r="AJ130" s="398">
        <f t="shared" si="374"/>
        <v>0</v>
      </c>
      <c r="AK130" s="340">
        <f t="shared" si="374"/>
        <v>3.68</v>
      </c>
      <c r="AL130" s="444">
        <f t="shared" si="374"/>
        <v>15567804</v>
      </c>
      <c r="AM130" s="378">
        <f t="shared" si="374"/>
        <v>11537381</v>
      </c>
      <c r="AN130" s="378">
        <f t="shared" si="374"/>
        <v>11520</v>
      </c>
      <c r="AO130" s="378">
        <f t="shared" si="374"/>
        <v>3903529</v>
      </c>
      <c r="AP130" s="378">
        <f t="shared" si="374"/>
        <v>115374</v>
      </c>
      <c r="AQ130" s="378">
        <f t="shared" si="374"/>
        <v>0</v>
      </c>
      <c r="AR130" s="398">
        <f t="shared" si="374"/>
        <v>18</v>
      </c>
    </row>
    <row r="131" spans="1:44" s="152" customFormat="1" ht="12.75" customHeight="1" x14ac:dyDescent="0.2">
      <c r="A131" s="154">
        <v>34</v>
      </c>
      <c r="B131" s="155">
        <v>3418</v>
      </c>
      <c r="C131" s="155">
        <v>600078001</v>
      </c>
      <c r="D131" s="155">
        <v>70695954</v>
      </c>
      <c r="E131" s="156" t="s">
        <v>70</v>
      </c>
      <c r="F131" s="155">
        <v>3111</v>
      </c>
      <c r="G131" s="156" t="s">
        <v>277</v>
      </c>
      <c r="H131" s="157" t="s">
        <v>262</v>
      </c>
      <c r="I131" s="627">
        <f>SUM(J131:L131)</f>
        <v>1882822</v>
      </c>
      <c r="J131" s="410">
        <v>1396752</v>
      </c>
      <c r="K131" s="431">
        <f t="shared" ref="K131:K132" si="375">ROUND(J131*33.8%,0)</f>
        <v>472102</v>
      </c>
      <c r="L131" s="431">
        <f t="shared" ref="L131:L132" si="376">ROUND(J131*1%,0)</f>
        <v>13968</v>
      </c>
      <c r="M131" s="431">
        <v>0</v>
      </c>
      <c r="N131" s="783">
        <v>2.29</v>
      </c>
      <c r="O131" s="445">
        <f>V131*-1</f>
        <v>0</v>
      </c>
      <c r="P131" s="325">
        <v>0</v>
      </c>
      <c r="Q131" s="325">
        <v>0</v>
      </c>
      <c r="R131" s="325">
        <v>0</v>
      </c>
      <c r="S131" s="325">
        <v>0</v>
      </c>
      <c r="T131" s="325">
        <v>0</v>
      </c>
      <c r="U131" s="492">
        <f t="shared" ref="U131:U132" si="377">O131+P131+Q131+R131+S131+T131</f>
        <v>0</v>
      </c>
      <c r="V131" s="325">
        <v>0</v>
      </c>
      <c r="W131" s="325">
        <v>0</v>
      </c>
      <c r="X131" s="325">
        <v>0</v>
      </c>
      <c r="Y131" s="492">
        <f t="shared" ref="Y131:Y132" si="378">V131+W131+X131</f>
        <v>0</v>
      </c>
      <c r="Z131" s="492">
        <f t="shared" ref="Z131:Z132" si="379">U131+Y131</f>
        <v>0</v>
      </c>
      <c r="AA131" s="494">
        <f t="shared" ref="AA131:AA132" si="380">ROUND((U131+Y131)*33.8%,0)</f>
        <v>0</v>
      </c>
      <c r="AB131" s="494">
        <f t="shared" ref="AB131:AB132" si="381">ROUND(U131*1%,0)</f>
        <v>0</v>
      </c>
      <c r="AC131" s="492">
        <v>0</v>
      </c>
      <c r="AD131" s="789">
        <f t="shared" ref="AD131:AD132" si="382">Z131+AA131+AB131+AC131</f>
        <v>0</v>
      </c>
      <c r="AE131" s="715">
        <v>0</v>
      </c>
      <c r="AF131" s="326">
        <v>0</v>
      </c>
      <c r="AG131" s="326">
        <v>0</v>
      </c>
      <c r="AH131" s="326">
        <v>0</v>
      </c>
      <c r="AI131" s="326">
        <v>0</v>
      </c>
      <c r="AJ131" s="326">
        <v>0</v>
      </c>
      <c r="AK131" s="626">
        <f t="shared" ref="AK131:AK132" si="383">SUM(AE131:AJ131)</f>
        <v>0</v>
      </c>
      <c r="AL131" s="493">
        <f>I131+AD131</f>
        <v>1882822</v>
      </c>
      <c r="AM131" s="492">
        <f>J131+U131</f>
        <v>1396752</v>
      </c>
      <c r="AN131" s="492">
        <f t="shared" ref="AN131:AN132" si="384">Y131</f>
        <v>0</v>
      </c>
      <c r="AO131" s="492">
        <f>K131+AA131</f>
        <v>472102</v>
      </c>
      <c r="AP131" s="492">
        <f>L131+AB131</f>
        <v>13968</v>
      </c>
      <c r="AQ131" s="578">
        <f t="shared" ref="AQ131:AQ132" si="385">M131+AC131</f>
        <v>0</v>
      </c>
      <c r="AR131" s="491">
        <f t="shared" ref="AR131:AR132" si="386">N131+AK131</f>
        <v>2.29</v>
      </c>
    </row>
    <row r="132" spans="1:44" s="152" customFormat="1" ht="12.75" customHeight="1" x14ac:dyDescent="0.2">
      <c r="A132" s="154">
        <v>34</v>
      </c>
      <c r="B132" s="155">
        <v>3418</v>
      </c>
      <c r="C132" s="155">
        <v>600078001</v>
      </c>
      <c r="D132" s="155">
        <v>70695954</v>
      </c>
      <c r="E132" s="156" t="s">
        <v>70</v>
      </c>
      <c r="F132" s="155">
        <v>3111</v>
      </c>
      <c r="G132" s="156" t="s">
        <v>278</v>
      </c>
      <c r="H132" s="157" t="s">
        <v>263</v>
      </c>
      <c r="I132" s="586">
        <f>SUM(J132:L132)</f>
        <v>0</v>
      </c>
      <c r="J132" s="323"/>
      <c r="K132" s="431">
        <f t="shared" si="375"/>
        <v>0</v>
      </c>
      <c r="L132" s="431">
        <f t="shared" si="376"/>
        <v>0</v>
      </c>
      <c r="M132" s="431">
        <v>0</v>
      </c>
      <c r="N132" s="784">
        <v>0</v>
      </c>
      <c r="O132" s="440">
        <f>V132*-1</f>
        <v>0</v>
      </c>
      <c r="P132" s="325">
        <v>0</v>
      </c>
      <c r="Q132" s="325">
        <v>0</v>
      </c>
      <c r="R132" s="325">
        <v>0</v>
      </c>
      <c r="S132" s="325">
        <v>0</v>
      </c>
      <c r="T132" s="325">
        <v>0</v>
      </c>
      <c r="U132" s="492">
        <f t="shared" si="377"/>
        <v>0</v>
      </c>
      <c r="V132" s="325">
        <v>0</v>
      </c>
      <c r="W132" s="325">
        <v>0</v>
      </c>
      <c r="X132" s="325">
        <v>0</v>
      </c>
      <c r="Y132" s="492">
        <f t="shared" si="378"/>
        <v>0</v>
      </c>
      <c r="Z132" s="492">
        <f t="shared" si="379"/>
        <v>0</v>
      </c>
      <c r="AA132" s="494">
        <f t="shared" si="380"/>
        <v>0</v>
      </c>
      <c r="AB132" s="494">
        <f t="shared" si="381"/>
        <v>0</v>
      </c>
      <c r="AC132" s="492">
        <v>0</v>
      </c>
      <c r="AD132" s="789">
        <f t="shared" si="382"/>
        <v>0</v>
      </c>
      <c r="AE132" s="715">
        <v>0</v>
      </c>
      <c r="AF132" s="326">
        <v>0</v>
      </c>
      <c r="AG132" s="326">
        <v>0</v>
      </c>
      <c r="AH132" s="326">
        <v>0</v>
      </c>
      <c r="AI132" s="326">
        <v>0</v>
      </c>
      <c r="AJ132" s="326">
        <v>0</v>
      </c>
      <c r="AK132" s="626">
        <f t="shared" si="383"/>
        <v>0</v>
      </c>
      <c r="AL132" s="493">
        <f>I132+AD132</f>
        <v>0</v>
      </c>
      <c r="AM132" s="492">
        <f>J132+U132</f>
        <v>0</v>
      </c>
      <c r="AN132" s="492">
        <f t="shared" si="384"/>
        <v>0</v>
      </c>
      <c r="AO132" s="492">
        <f>K132+AA132</f>
        <v>0</v>
      </c>
      <c r="AP132" s="492">
        <f>L132+AB132</f>
        <v>0</v>
      </c>
      <c r="AQ132" s="578">
        <f t="shared" si="385"/>
        <v>0</v>
      </c>
      <c r="AR132" s="491">
        <f t="shared" si="386"/>
        <v>0</v>
      </c>
    </row>
    <row r="133" spans="1:44" s="152" customFormat="1" ht="12.75" customHeight="1" x14ac:dyDescent="0.2">
      <c r="A133" s="105">
        <v>34</v>
      </c>
      <c r="B133" s="12">
        <v>3418</v>
      </c>
      <c r="C133" s="104">
        <v>600078001</v>
      </c>
      <c r="D133" s="104">
        <v>70695954</v>
      </c>
      <c r="E133" s="153" t="s">
        <v>71</v>
      </c>
      <c r="F133" s="12"/>
      <c r="G133" s="153"/>
      <c r="H133" s="407"/>
      <c r="I133" s="782">
        <f t="shared" ref="I133:AR133" si="387">SUM(I131:I132)</f>
        <v>1882822</v>
      </c>
      <c r="J133" s="378">
        <f t="shared" si="387"/>
        <v>1396752</v>
      </c>
      <c r="K133" s="378">
        <f t="shared" si="387"/>
        <v>472102</v>
      </c>
      <c r="L133" s="378">
        <f t="shared" si="387"/>
        <v>13968</v>
      </c>
      <c r="M133" s="378">
        <f t="shared" si="387"/>
        <v>0</v>
      </c>
      <c r="N133" s="340">
        <f t="shared" si="387"/>
        <v>2.29</v>
      </c>
      <c r="O133" s="444">
        <f t="shared" si="387"/>
        <v>0</v>
      </c>
      <c r="P133" s="378">
        <f t="shared" si="387"/>
        <v>0</v>
      </c>
      <c r="Q133" s="378">
        <f t="shared" si="387"/>
        <v>0</v>
      </c>
      <c r="R133" s="378">
        <f t="shared" si="387"/>
        <v>0</v>
      </c>
      <c r="S133" s="378">
        <f t="shared" si="387"/>
        <v>0</v>
      </c>
      <c r="T133" s="378">
        <f t="shared" si="387"/>
        <v>0</v>
      </c>
      <c r="U133" s="378">
        <f t="shared" si="387"/>
        <v>0</v>
      </c>
      <c r="V133" s="378">
        <f t="shared" si="387"/>
        <v>0</v>
      </c>
      <c r="W133" s="378">
        <f t="shared" si="387"/>
        <v>0</v>
      </c>
      <c r="X133" s="378">
        <f t="shared" si="387"/>
        <v>0</v>
      </c>
      <c r="Y133" s="378">
        <f t="shared" si="387"/>
        <v>0</v>
      </c>
      <c r="Z133" s="378">
        <f t="shared" si="387"/>
        <v>0</v>
      </c>
      <c r="AA133" s="378">
        <f t="shared" si="387"/>
        <v>0</v>
      </c>
      <c r="AB133" s="378">
        <f t="shared" si="387"/>
        <v>0</v>
      </c>
      <c r="AC133" s="378">
        <f t="shared" si="387"/>
        <v>0</v>
      </c>
      <c r="AD133" s="788">
        <f t="shared" si="387"/>
        <v>0</v>
      </c>
      <c r="AE133" s="790">
        <f t="shared" si="387"/>
        <v>0</v>
      </c>
      <c r="AF133" s="398">
        <f t="shared" si="387"/>
        <v>0</v>
      </c>
      <c r="AG133" s="398">
        <f t="shared" si="387"/>
        <v>0</v>
      </c>
      <c r="AH133" s="398">
        <f t="shared" si="387"/>
        <v>0</v>
      </c>
      <c r="AI133" s="398">
        <f t="shared" si="387"/>
        <v>0</v>
      </c>
      <c r="AJ133" s="398">
        <f t="shared" si="387"/>
        <v>0</v>
      </c>
      <c r="AK133" s="340">
        <f t="shared" si="387"/>
        <v>0</v>
      </c>
      <c r="AL133" s="444">
        <f t="shared" si="387"/>
        <v>1882822</v>
      </c>
      <c r="AM133" s="378">
        <f t="shared" si="387"/>
        <v>1396752</v>
      </c>
      <c r="AN133" s="378">
        <f t="shared" si="387"/>
        <v>0</v>
      </c>
      <c r="AO133" s="378">
        <f t="shared" si="387"/>
        <v>472102</v>
      </c>
      <c r="AP133" s="378">
        <f t="shared" si="387"/>
        <v>13968</v>
      </c>
      <c r="AQ133" s="378">
        <f t="shared" si="387"/>
        <v>0</v>
      </c>
      <c r="AR133" s="398">
        <f t="shared" si="387"/>
        <v>2.29</v>
      </c>
    </row>
    <row r="134" spans="1:44" s="152" customFormat="1" ht="12.75" customHeight="1" x14ac:dyDescent="0.2">
      <c r="A134" s="154">
        <v>35</v>
      </c>
      <c r="B134" s="155">
        <v>3428</v>
      </c>
      <c r="C134" s="155">
        <v>600078311</v>
      </c>
      <c r="D134" s="155">
        <v>72742518</v>
      </c>
      <c r="E134" s="156" t="s">
        <v>72</v>
      </c>
      <c r="F134" s="155">
        <v>3111</v>
      </c>
      <c r="G134" s="156" t="s">
        <v>277</v>
      </c>
      <c r="H134" s="157" t="s">
        <v>262</v>
      </c>
      <c r="I134" s="627">
        <f>SUM(J134:L134)</f>
        <v>3194213</v>
      </c>
      <c r="J134" s="410">
        <v>2369594</v>
      </c>
      <c r="K134" s="431">
        <f t="shared" ref="K134:K137" si="388">ROUND(J134*33.8%,0)</f>
        <v>800923</v>
      </c>
      <c r="L134" s="431">
        <f t="shared" ref="L134:L137" si="389">ROUND(J134*1%,0)</f>
        <v>23696</v>
      </c>
      <c r="M134" s="431">
        <v>0</v>
      </c>
      <c r="N134" s="783">
        <v>4</v>
      </c>
      <c r="O134" s="445">
        <f>V134*-1</f>
        <v>0</v>
      </c>
      <c r="P134" s="325">
        <v>0</v>
      </c>
      <c r="Q134" s="325">
        <v>0</v>
      </c>
      <c r="R134" s="325">
        <v>0</v>
      </c>
      <c r="S134" s="325">
        <v>0</v>
      </c>
      <c r="T134" s="325">
        <v>0</v>
      </c>
      <c r="U134" s="492">
        <f t="shared" ref="U134:U137" si="390">O134+P134+Q134+R134+S134+T134</f>
        <v>0</v>
      </c>
      <c r="V134" s="325">
        <v>0</v>
      </c>
      <c r="W134" s="325">
        <v>0</v>
      </c>
      <c r="X134" s="325">
        <v>0</v>
      </c>
      <c r="Y134" s="492">
        <f t="shared" ref="Y134:Y137" si="391">V134+W134+X134</f>
        <v>0</v>
      </c>
      <c r="Z134" s="492">
        <f t="shared" ref="Z134:Z137" si="392">U134+Y134</f>
        <v>0</v>
      </c>
      <c r="AA134" s="494">
        <f t="shared" ref="AA134:AA137" si="393">ROUND((U134+Y134)*33.8%,0)</f>
        <v>0</v>
      </c>
      <c r="AB134" s="494">
        <f t="shared" ref="AB134:AB137" si="394">ROUND(U134*1%,0)</f>
        <v>0</v>
      </c>
      <c r="AC134" s="492">
        <v>0</v>
      </c>
      <c r="AD134" s="789">
        <f t="shared" ref="AD134:AD137" si="395">Z134+AA134+AB134+AC134</f>
        <v>0</v>
      </c>
      <c r="AE134" s="715">
        <v>0</v>
      </c>
      <c r="AF134" s="326">
        <v>0</v>
      </c>
      <c r="AG134" s="326">
        <v>0</v>
      </c>
      <c r="AH134" s="326">
        <v>0</v>
      </c>
      <c r="AI134" s="326">
        <v>0</v>
      </c>
      <c r="AJ134" s="326">
        <v>0</v>
      </c>
      <c r="AK134" s="626">
        <f t="shared" ref="AK134:AK137" si="396">SUM(AE134:AJ134)</f>
        <v>0</v>
      </c>
      <c r="AL134" s="493">
        <f>I134+AD134</f>
        <v>3194213</v>
      </c>
      <c r="AM134" s="492">
        <f>J134+U134</f>
        <v>2369594</v>
      </c>
      <c r="AN134" s="492">
        <f t="shared" ref="AN134:AN137" si="397">Y134</f>
        <v>0</v>
      </c>
      <c r="AO134" s="492">
        <f t="shared" ref="AO134:AQ137" si="398">K134+AA134</f>
        <v>800923</v>
      </c>
      <c r="AP134" s="492">
        <f t="shared" si="398"/>
        <v>23696</v>
      </c>
      <c r="AQ134" s="578">
        <f t="shared" si="398"/>
        <v>0</v>
      </c>
      <c r="AR134" s="491">
        <f t="shared" ref="AR134:AR137" si="399">N134+AK134</f>
        <v>4</v>
      </c>
    </row>
    <row r="135" spans="1:44" s="152" customFormat="1" ht="12.75" customHeight="1" x14ac:dyDescent="0.2">
      <c r="A135" s="154">
        <v>35</v>
      </c>
      <c r="B135" s="155">
        <v>3428</v>
      </c>
      <c r="C135" s="155">
        <v>600078311</v>
      </c>
      <c r="D135" s="155">
        <v>72742518</v>
      </c>
      <c r="E135" s="156" t="s">
        <v>72</v>
      </c>
      <c r="F135" s="155">
        <v>3117</v>
      </c>
      <c r="G135" s="156" t="s">
        <v>280</v>
      </c>
      <c r="H135" s="157" t="s">
        <v>262</v>
      </c>
      <c r="I135" s="586">
        <f>SUM(J135:L135)</f>
        <v>3569507</v>
      </c>
      <c r="J135" s="323">
        <v>2648003</v>
      </c>
      <c r="K135" s="431">
        <f>ROUND(J135*33.8%,0)-1</f>
        <v>895024</v>
      </c>
      <c r="L135" s="431">
        <f t="shared" si="389"/>
        <v>26480</v>
      </c>
      <c r="M135" s="431">
        <v>0</v>
      </c>
      <c r="N135" s="784">
        <v>3.91</v>
      </c>
      <c r="O135" s="440">
        <f>V135*-1</f>
        <v>-6720</v>
      </c>
      <c r="P135" s="325">
        <v>0</v>
      </c>
      <c r="Q135" s="325">
        <v>0</v>
      </c>
      <c r="R135" s="325">
        <v>0</v>
      </c>
      <c r="S135" s="325">
        <v>0</v>
      </c>
      <c r="T135" s="325">
        <v>0</v>
      </c>
      <c r="U135" s="492">
        <f t="shared" si="390"/>
        <v>-6720</v>
      </c>
      <c r="V135" s="325">
        <v>6720</v>
      </c>
      <c r="W135" s="325">
        <v>0</v>
      </c>
      <c r="X135" s="325">
        <v>0</v>
      </c>
      <c r="Y135" s="492">
        <f t="shared" si="391"/>
        <v>6720</v>
      </c>
      <c r="Z135" s="492">
        <f t="shared" si="392"/>
        <v>0</v>
      </c>
      <c r="AA135" s="494">
        <f t="shared" si="393"/>
        <v>0</v>
      </c>
      <c r="AB135" s="494">
        <f t="shared" si="394"/>
        <v>-67</v>
      </c>
      <c r="AC135" s="492">
        <v>0</v>
      </c>
      <c r="AD135" s="789">
        <f t="shared" si="395"/>
        <v>-67</v>
      </c>
      <c r="AE135" s="715">
        <v>0</v>
      </c>
      <c r="AF135" s="326">
        <v>0</v>
      </c>
      <c r="AG135" s="326">
        <v>0</v>
      </c>
      <c r="AH135" s="326">
        <v>0</v>
      </c>
      <c r="AI135" s="326">
        <v>0</v>
      </c>
      <c r="AJ135" s="326">
        <v>0</v>
      </c>
      <c r="AK135" s="626">
        <f t="shared" si="396"/>
        <v>0</v>
      </c>
      <c r="AL135" s="493">
        <f>I135+AD135</f>
        <v>3569440</v>
      </c>
      <c r="AM135" s="492">
        <f>J135+U135</f>
        <v>2641283</v>
      </c>
      <c r="AN135" s="492">
        <f t="shared" si="397"/>
        <v>6720</v>
      </c>
      <c r="AO135" s="492">
        <f t="shared" si="398"/>
        <v>895024</v>
      </c>
      <c r="AP135" s="492">
        <f t="shared" si="398"/>
        <v>26413</v>
      </c>
      <c r="AQ135" s="578">
        <f t="shared" si="398"/>
        <v>0</v>
      </c>
      <c r="AR135" s="491">
        <f t="shared" si="399"/>
        <v>3.91</v>
      </c>
    </row>
    <row r="136" spans="1:44" s="152" customFormat="1" x14ac:dyDescent="0.2">
      <c r="A136" s="154">
        <v>35</v>
      </c>
      <c r="B136" s="155">
        <v>3428</v>
      </c>
      <c r="C136" s="155">
        <v>600078311</v>
      </c>
      <c r="D136" s="155">
        <v>72742518</v>
      </c>
      <c r="E136" s="156" t="s">
        <v>72</v>
      </c>
      <c r="F136" s="155">
        <v>3117</v>
      </c>
      <c r="G136" s="156" t="s">
        <v>278</v>
      </c>
      <c r="H136" s="157" t="s">
        <v>263</v>
      </c>
      <c r="I136" s="586">
        <f>SUM(J136:L136)</f>
        <v>0</v>
      </c>
      <c r="J136" s="323"/>
      <c r="K136" s="431">
        <f t="shared" si="388"/>
        <v>0</v>
      </c>
      <c r="L136" s="431">
        <f t="shared" si="389"/>
        <v>0</v>
      </c>
      <c r="M136" s="431">
        <v>0</v>
      </c>
      <c r="N136" s="784">
        <v>0</v>
      </c>
      <c r="O136" s="440">
        <f>V136*-1</f>
        <v>0</v>
      </c>
      <c r="P136" s="325">
        <v>892908</v>
      </c>
      <c r="Q136" s="325">
        <v>0</v>
      </c>
      <c r="R136" s="325">
        <v>0</v>
      </c>
      <c r="S136" s="325">
        <v>0</v>
      </c>
      <c r="T136" s="325">
        <v>0</v>
      </c>
      <c r="U136" s="492">
        <f t="shared" si="390"/>
        <v>892908</v>
      </c>
      <c r="V136" s="325">
        <v>0</v>
      </c>
      <c r="W136" s="325">
        <v>0</v>
      </c>
      <c r="X136" s="325">
        <v>0</v>
      </c>
      <c r="Y136" s="492">
        <f t="shared" si="391"/>
        <v>0</v>
      </c>
      <c r="Z136" s="492">
        <f t="shared" si="392"/>
        <v>892908</v>
      </c>
      <c r="AA136" s="494">
        <f t="shared" si="393"/>
        <v>301803</v>
      </c>
      <c r="AB136" s="494">
        <f t="shared" si="394"/>
        <v>8929</v>
      </c>
      <c r="AC136" s="492">
        <v>0</v>
      </c>
      <c r="AD136" s="789">
        <f t="shared" si="395"/>
        <v>1203640</v>
      </c>
      <c r="AE136" s="715">
        <v>0</v>
      </c>
      <c r="AF136" s="326">
        <v>2.25</v>
      </c>
      <c r="AG136" s="326">
        <v>0</v>
      </c>
      <c r="AH136" s="326">
        <v>0</v>
      </c>
      <c r="AI136" s="326">
        <v>0</v>
      </c>
      <c r="AJ136" s="326">
        <v>0</v>
      </c>
      <c r="AK136" s="626">
        <f t="shared" si="396"/>
        <v>2.25</v>
      </c>
      <c r="AL136" s="493">
        <f>I136+AD136</f>
        <v>1203640</v>
      </c>
      <c r="AM136" s="492">
        <f>J136+U136</f>
        <v>892908</v>
      </c>
      <c r="AN136" s="492">
        <f t="shared" si="397"/>
        <v>0</v>
      </c>
      <c r="AO136" s="492">
        <f t="shared" si="398"/>
        <v>301803</v>
      </c>
      <c r="AP136" s="492">
        <f t="shared" si="398"/>
        <v>8929</v>
      </c>
      <c r="AQ136" s="578">
        <f t="shared" si="398"/>
        <v>0</v>
      </c>
      <c r="AR136" s="491">
        <f t="shared" si="399"/>
        <v>2.25</v>
      </c>
    </row>
    <row r="137" spans="1:44" s="152" customFormat="1" ht="12.75" customHeight="1" x14ac:dyDescent="0.2">
      <c r="A137" s="154">
        <v>35</v>
      </c>
      <c r="B137" s="155">
        <v>3428</v>
      </c>
      <c r="C137" s="155">
        <v>600078311</v>
      </c>
      <c r="D137" s="155">
        <v>72742518</v>
      </c>
      <c r="E137" s="156" t="s">
        <v>72</v>
      </c>
      <c r="F137" s="155">
        <v>3143</v>
      </c>
      <c r="G137" s="156" t="s">
        <v>794</v>
      </c>
      <c r="H137" s="157" t="s">
        <v>262</v>
      </c>
      <c r="I137" s="586">
        <f>SUM(J137:L137)</f>
        <v>1368319</v>
      </c>
      <c r="J137" s="323">
        <v>1015073</v>
      </c>
      <c r="K137" s="431">
        <f t="shared" si="388"/>
        <v>343095</v>
      </c>
      <c r="L137" s="431">
        <f t="shared" si="389"/>
        <v>10151</v>
      </c>
      <c r="M137" s="431">
        <v>0</v>
      </c>
      <c r="N137" s="784">
        <v>2.0499999999999998</v>
      </c>
      <c r="O137" s="440">
        <f>V137*-1</f>
        <v>0</v>
      </c>
      <c r="P137" s="325">
        <v>0</v>
      </c>
      <c r="Q137" s="325">
        <v>0</v>
      </c>
      <c r="R137" s="325">
        <v>0</v>
      </c>
      <c r="S137" s="325">
        <v>0</v>
      </c>
      <c r="T137" s="325">
        <v>0</v>
      </c>
      <c r="U137" s="492">
        <f t="shared" si="390"/>
        <v>0</v>
      </c>
      <c r="V137" s="325">
        <v>0</v>
      </c>
      <c r="W137" s="325">
        <v>0</v>
      </c>
      <c r="X137" s="325">
        <v>0</v>
      </c>
      <c r="Y137" s="492">
        <f t="shared" si="391"/>
        <v>0</v>
      </c>
      <c r="Z137" s="492">
        <f t="shared" si="392"/>
        <v>0</v>
      </c>
      <c r="AA137" s="494">
        <f t="shared" si="393"/>
        <v>0</v>
      </c>
      <c r="AB137" s="494">
        <f t="shared" si="394"/>
        <v>0</v>
      </c>
      <c r="AC137" s="492">
        <v>0</v>
      </c>
      <c r="AD137" s="789">
        <f t="shared" si="395"/>
        <v>0</v>
      </c>
      <c r="AE137" s="715">
        <v>0</v>
      </c>
      <c r="AF137" s="326">
        <v>0</v>
      </c>
      <c r="AG137" s="326">
        <v>0</v>
      </c>
      <c r="AH137" s="326">
        <v>0</v>
      </c>
      <c r="AI137" s="326">
        <v>0</v>
      </c>
      <c r="AJ137" s="326">
        <v>0</v>
      </c>
      <c r="AK137" s="626">
        <f t="shared" si="396"/>
        <v>0</v>
      </c>
      <c r="AL137" s="493">
        <f>I137+AD137</f>
        <v>1368319</v>
      </c>
      <c r="AM137" s="492">
        <f>J137+U137</f>
        <v>1015073</v>
      </c>
      <c r="AN137" s="492">
        <f t="shared" si="397"/>
        <v>0</v>
      </c>
      <c r="AO137" s="492">
        <f t="shared" si="398"/>
        <v>343095</v>
      </c>
      <c r="AP137" s="492">
        <f t="shared" si="398"/>
        <v>10151</v>
      </c>
      <c r="AQ137" s="578">
        <f t="shared" si="398"/>
        <v>0</v>
      </c>
      <c r="AR137" s="491">
        <f t="shared" si="399"/>
        <v>2.0499999999999998</v>
      </c>
    </row>
    <row r="138" spans="1:44" s="152" customFormat="1" ht="12.75" customHeight="1" x14ac:dyDescent="0.2">
      <c r="A138" s="105">
        <v>35</v>
      </c>
      <c r="B138" s="12">
        <v>3428</v>
      </c>
      <c r="C138" s="104">
        <v>600078311</v>
      </c>
      <c r="D138" s="104">
        <v>72742518</v>
      </c>
      <c r="E138" s="153" t="s">
        <v>73</v>
      </c>
      <c r="F138" s="12"/>
      <c r="G138" s="153"/>
      <c r="H138" s="407"/>
      <c r="I138" s="782">
        <f t="shared" ref="I138:AR138" si="400">SUM(I134:I137)</f>
        <v>8132039</v>
      </c>
      <c r="J138" s="378">
        <f t="shared" si="400"/>
        <v>6032670</v>
      </c>
      <c r="K138" s="378">
        <f t="shared" si="400"/>
        <v>2039042</v>
      </c>
      <c r="L138" s="378">
        <f t="shared" si="400"/>
        <v>60327</v>
      </c>
      <c r="M138" s="378">
        <f t="shared" si="400"/>
        <v>0</v>
      </c>
      <c r="N138" s="340">
        <f t="shared" si="400"/>
        <v>9.9600000000000009</v>
      </c>
      <c r="O138" s="444">
        <f t="shared" si="400"/>
        <v>-6720</v>
      </c>
      <c r="P138" s="378">
        <f t="shared" si="400"/>
        <v>892908</v>
      </c>
      <c r="Q138" s="378">
        <f t="shared" si="400"/>
        <v>0</v>
      </c>
      <c r="R138" s="378">
        <f t="shared" si="400"/>
        <v>0</v>
      </c>
      <c r="S138" s="378">
        <f t="shared" si="400"/>
        <v>0</v>
      </c>
      <c r="T138" s="378">
        <f t="shared" si="400"/>
        <v>0</v>
      </c>
      <c r="U138" s="378">
        <f t="shared" si="400"/>
        <v>886188</v>
      </c>
      <c r="V138" s="378">
        <f t="shared" si="400"/>
        <v>6720</v>
      </c>
      <c r="W138" s="378">
        <f t="shared" si="400"/>
        <v>0</v>
      </c>
      <c r="X138" s="378">
        <f t="shared" si="400"/>
        <v>0</v>
      </c>
      <c r="Y138" s="378">
        <f t="shared" si="400"/>
        <v>6720</v>
      </c>
      <c r="Z138" s="378">
        <f t="shared" si="400"/>
        <v>892908</v>
      </c>
      <c r="AA138" s="378">
        <f t="shared" si="400"/>
        <v>301803</v>
      </c>
      <c r="AB138" s="378">
        <f t="shared" si="400"/>
        <v>8862</v>
      </c>
      <c r="AC138" s="378">
        <f t="shared" si="400"/>
        <v>0</v>
      </c>
      <c r="AD138" s="788">
        <f t="shared" si="400"/>
        <v>1203573</v>
      </c>
      <c r="AE138" s="790">
        <f t="shared" si="400"/>
        <v>0</v>
      </c>
      <c r="AF138" s="398">
        <f t="shared" si="400"/>
        <v>2.25</v>
      </c>
      <c r="AG138" s="398">
        <f t="shared" si="400"/>
        <v>0</v>
      </c>
      <c r="AH138" s="398">
        <f t="shared" si="400"/>
        <v>0</v>
      </c>
      <c r="AI138" s="398">
        <f t="shared" si="400"/>
        <v>0</v>
      </c>
      <c r="AJ138" s="398">
        <f t="shared" si="400"/>
        <v>0</v>
      </c>
      <c r="AK138" s="340">
        <f t="shared" si="400"/>
        <v>2.25</v>
      </c>
      <c r="AL138" s="444">
        <f t="shared" si="400"/>
        <v>9335612</v>
      </c>
      <c r="AM138" s="378">
        <f t="shared" si="400"/>
        <v>6918858</v>
      </c>
      <c r="AN138" s="378">
        <f t="shared" si="400"/>
        <v>6720</v>
      </c>
      <c r="AO138" s="378">
        <f t="shared" si="400"/>
        <v>2340845</v>
      </c>
      <c r="AP138" s="378">
        <f t="shared" si="400"/>
        <v>69189</v>
      </c>
      <c r="AQ138" s="378">
        <f t="shared" si="400"/>
        <v>0</v>
      </c>
      <c r="AR138" s="398">
        <f t="shared" si="400"/>
        <v>12.21</v>
      </c>
    </row>
    <row r="139" spans="1:44" s="152" customFormat="1" ht="12.75" customHeight="1" x14ac:dyDescent="0.2">
      <c r="A139" s="154">
        <v>36</v>
      </c>
      <c r="B139" s="155">
        <v>3433</v>
      </c>
      <c r="C139" s="155">
        <v>600078043</v>
      </c>
      <c r="D139" s="155">
        <v>70695130</v>
      </c>
      <c r="E139" s="156" t="s">
        <v>74</v>
      </c>
      <c r="F139" s="155">
        <v>3111</v>
      </c>
      <c r="G139" s="156" t="s">
        <v>277</v>
      </c>
      <c r="H139" s="157" t="s">
        <v>262</v>
      </c>
      <c r="I139" s="627">
        <f>SUM(J139:L139)</f>
        <v>3169837</v>
      </c>
      <c r="J139" s="410">
        <v>2351511</v>
      </c>
      <c r="K139" s="431">
        <f t="shared" ref="K139:K140" si="401">ROUND(J139*33.8%,0)</f>
        <v>794811</v>
      </c>
      <c r="L139" s="431">
        <f t="shared" ref="L139:L140" si="402">ROUND(J139*1%,0)</f>
        <v>23515</v>
      </c>
      <c r="M139" s="431">
        <v>0</v>
      </c>
      <c r="N139" s="783">
        <v>4</v>
      </c>
      <c r="O139" s="445">
        <f>V139*-1</f>
        <v>0</v>
      </c>
      <c r="P139" s="325">
        <v>0</v>
      </c>
      <c r="Q139" s="325">
        <v>0</v>
      </c>
      <c r="R139" s="325">
        <v>0</v>
      </c>
      <c r="S139" s="325">
        <v>0</v>
      </c>
      <c r="T139" s="325">
        <v>0</v>
      </c>
      <c r="U139" s="492">
        <f t="shared" ref="U139:U140" si="403">O139+P139+Q139+R139+S139+T139</f>
        <v>0</v>
      </c>
      <c r="V139" s="325">
        <v>0</v>
      </c>
      <c r="W139" s="325">
        <v>0</v>
      </c>
      <c r="X139" s="325">
        <v>0</v>
      </c>
      <c r="Y139" s="492">
        <f t="shared" ref="Y139:Y140" si="404">V139+W139+X139</f>
        <v>0</v>
      </c>
      <c r="Z139" s="492">
        <f t="shared" ref="Z139:Z140" si="405">U139+Y139</f>
        <v>0</v>
      </c>
      <c r="AA139" s="494">
        <f t="shared" ref="AA139:AA140" si="406">ROUND((U139+Y139)*33.8%,0)</f>
        <v>0</v>
      </c>
      <c r="AB139" s="494">
        <f t="shared" ref="AB139:AB140" si="407">ROUND(U139*1%,0)</f>
        <v>0</v>
      </c>
      <c r="AC139" s="492">
        <v>0</v>
      </c>
      <c r="AD139" s="789">
        <f t="shared" ref="AD139:AD140" si="408">Z139+AA139+AB139+AC139</f>
        <v>0</v>
      </c>
      <c r="AE139" s="715">
        <v>0</v>
      </c>
      <c r="AF139" s="326">
        <v>0</v>
      </c>
      <c r="AG139" s="326">
        <v>0</v>
      </c>
      <c r="AH139" s="326">
        <v>0</v>
      </c>
      <c r="AI139" s="326">
        <v>0</v>
      </c>
      <c r="AJ139" s="326">
        <v>0</v>
      </c>
      <c r="AK139" s="626">
        <f t="shared" ref="AK139:AK140" si="409">SUM(AE139:AJ139)</f>
        <v>0</v>
      </c>
      <c r="AL139" s="493">
        <f>I139+AD139</f>
        <v>3169837</v>
      </c>
      <c r="AM139" s="492">
        <f>J139+U139</f>
        <v>2351511</v>
      </c>
      <c r="AN139" s="492">
        <f t="shared" ref="AN139:AN140" si="410">Y139</f>
        <v>0</v>
      </c>
      <c r="AO139" s="492">
        <f>K139+AA139</f>
        <v>794811</v>
      </c>
      <c r="AP139" s="492">
        <f>L139+AB139</f>
        <v>23515</v>
      </c>
      <c r="AQ139" s="578">
        <f t="shared" ref="AQ139:AQ140" si="411">M139+AC139</f>
        <v>0</v>
      </c>
      <c r="AR139" s="491">
        <f t="shared" ref="AR139:AR140" si="412">N139+AK139</f>
        <v>4</v>
      </c>
    </row>
    <row r="140" spans="1:44" s="152" customFormat="1" ht="12.75" customHeight="1" x14ac:dyDescent="0.2">
      <c r="A140" s="154">
        <v>36</v>
      </c>
      <c r="B140" s="155">
        <v>3433</v>
      </c>
      <c r="C140" s="155">
        <v>600078043</v>
      </c>
      <c r="D140" s="155">
        <v>70695130</v>
      </c>
      <c r="E140" s="156" t="s">
        <v>74</v>
      </c>
      <c r="F140" s="155">
        <v>3111</v>
      </c>
      <c r="G140" s="156" t="s">
        <v>278</v>
      </c>
      <c r="H140" s="157" t="s">
        <v>263</v>
      </c>
      <c r="I140" s="586">
        <f>SUM(J140:L140)</f>
        <v>0</v>
      </c>
      <c r="J140" s="323"/>
      <c r="K140" s="431">
        <f t="shared" si="401"/>
        <v>0</v>
      </c>
      <c r="L140" s="431">
        <f t="shared" si="402"/>
        <v>0</v>
      </c>
      <c r="M140" s="431">
        <v>0</v>
      </c>
      <c r="N140" s="784">
        <v>0</v>
      </c>
      <c r="O140" s="440">
        <f>V140*-1</f>
        <v>0</v>
      </c>
      <c r="P140" s="325">
        <v>297636</v>
      </c>
      <c r="Q140" s="325">
        <v>0</v>
      </c>
      <c r="R140" s="325">
        <v>0</v>
      </c>
      <c r="S140" s="325">
        <v>0</v>
      </c>
      <c r="T140" s="325">
        <v>0</v>
      </c>
      <c r="U140" s="492">
        <f t="shared" si="403"/>
        <v>297636</v>
      </c>
      <c r="V140" s="325">
        <v>0</v>
      </c>
      <c r="W140" s="325">
        <v>0</v>
      </c>
      <c r="X140" s="325">
        <v>0</v>
      </c>
      <c r="Y140" s="492">
        <f t="shared" si="404"/>
        <v>0</v>
      </c>
      <c r="Z140" s="492">
        <f t="shared" si="405"/>
        <v>297636</v>
      </c>
      <c r="AA140" s="494">
        <f t="shared" si="406"/>
        <v>100601</v>
      </c>
      <c r="AB140" s="494">
        <f t="shared" si="407"/>
        <v>2976</v>
      </c>
      <c r="AC140" s="492">
        <v>0</v>
      </c>
      <c r="AD140" s="789">
        <f t="shared" si="408"/>
        <v>401213</v>
      </c>
      <c r="AE140" s="715">
        <v>0</v>
      </c>
      <c r="AF140" s="326">
        <v>0.75</v>
      </c>
      <c r="AG140" s="326">
        <v>0</v>
      </c>
      <c r="AH140" s="326">
        <v>0</v>
      </c>
      <c r="AI140" s="326">
        <v>0</v>
      </c>
      <c r="AJ140" s="326">
        <v>0</v>
      </c>
      <c r="AK140" s="626">
        <f t="shared" si="409"/>
        <v>0.75</v>
      </c>
      <c r="AL140" s="493">
        <f>I140+AD140</f>
        <v>401213</v>
      </c>
      <c r="AM140" s="492">
        <f>J140+U140</f>
        <v>297636</v>
      </c>
      <c r="AN140" s="492">
        <f t="shared" si="410"/>
        <v>0</v>
      </c>
      <c r="AO140" s="492">
        <f>K140+AA140</f>
        <v>100601</v>
      </c>
      <c r="AP140" s="492">
        <f>L140+AB140</f>
        <v>2976</v>
      </c>
      <c r="AQ140" s="578">
        <f t="shared" si="411"/>
        <v>0</v>
      </c>
      <c r="AR140" s="491">
        <f t="shared" si="412"/>
        <v>0.75</v>
      </c>
    </row>
    <row r="141" spans="1:44" s="152" customFormat="1" ht="12.75" customHeight="1" x14ac:dyDescent="0.2">
      <c r="A141" s="105">
        <v>36</v>
      </c>
      <c r="B141" s="12">
        <v>3433</v>
      </c>
      <c r="C141" s="104">
        <v>600078043</v>
      </c>
      <c r="D141" s="104">
        <v>70695130</v>
      </c>
      <c r="E141" s="153" t="s">
        <v>75</v>
      </c>
      <c r="F141" s="12"/>
      <c r="G141" s="153"/>
      <c r="H141" s="407"/>
      <c r="I141" s="782">
        <f t="shared" ref="I141:AR141" si="413">SUM(I139:I140)</f>
        <v>3169837</v>
      </c>
      <c r="J141" s="378">
        <f t="shared" si="413"/>
        <v>2351511</v>
      </c>
      <c r="K141" s="378">
        <f t="shared" si="413"/>
        <v>794811</v>
      </c>
      <c r="L141" s="378">
        <f t="shared" si="413"/>
        <v>23515</v>
      </c>
      <c r="M141" s="378">
        <f t="shared" si="413"/>
        <v>0</v>
      </c>
      <c r="N141" s="340">
        <f t="shared" si="413"/>
        <v>4</v>
      </c>
      <c r="O141" s="444">
        <f t="shared" si="413"/>
        <v>0</v>
      </c>
      <c r="P141" s="378">
        <f t="shared" si="413"/>
        <v>297636</v>
      </c>
      <c r="Q141" s="378">
        <f t="shared" si="413"/>
        <v>0</v>
      </c>
      <c r="R141" s="378">
        <f t="shared" si="413"/>
        <v>0</v>
      </c>
      <c r="S141" s="378">
        <f t="shared" si="413"/>
        <v>0</v>
      </c>
      <c r="T141" s="378">
        <f t="shared" si="413"/>
        <v>0</v>
      </c>
      <c r="U141" s="378">
        <f t="shared" si="413"/>
        <v>297636</v>
      </c>
      <c r="V141" s="378">
        <f t="shared" si="413"/>
        <v>0</v>
      </c>
      <c r="W141" s="378">
        <f t="shared" si="413"/>
        <v>0</v>
      </c>
      <c r="X141" s="378">
        <f t="shared" si="413"/>
        <v>0</v>
      </c>
      <c r="Y141" s="378">
        <f t="shared" si="413"/>
        <v>0</v>
      </c>
      <c r="Z141" s="378">
        <f t="shared" si="413"/>
        <v>297636</v>
      </c>
      <c r="AA141" s="378">
        <f t="shared" si="413"/>
        <v>100601</v>
      </c>
      <c r="AB141" s="378">
        <f t="shared" si="413"/>
        <v>2976</v>
      </c>
      <c r="AC141" s="378">
        <f t="shared" si="413"/>
        <v>0</v>
      </c>
      <c r="AD141" s="788">
        <f t="shared" si="413"/>
        <v>401213</v>
      </c>
      <c r="AE141" s="790">
        <f t="shared" si="413"/>
        <v>0</v>
      </c>
      <c r="AF141" s="398">
        <f t="shared" si="413"/>
        <v>0.75</v>
      </c>
      <c r="AG141" s="398">
        <f t="shared" si="413"/>
        <v>0</v>
      </c>
      <c r="AH141" s="398">
        <f t="shared" si="413"/>
        <v>0</v>
      </c>
      <c r="AI141" s="398">
        <f t="shared" si="413"/>
        <v>0</v>
      </c>
      <c r="AJ141" s="398">
        <f t="shared" si="413"/>
        <v>0</v>
      </c>
      <c r="AK141" s="340">
        <f t="shared" si="413"/>
        <v>0.75</v>
      </c>
      <c r="AL141" s="444">
        <f t="shared" si="413"/>
        <v>3571050</v>
      </c>
      <c r="AM141" s="378">
        <f t="shared" si="413"/>
        <v>2649147</v>
      </c>
      <c r="AN141" s="378">
        <f t="shared" si="413"/>
        <v>0</v>
      </c>
      <c r="AO141" s="378">
        <f t="shared" si="413"/>
        <v>895412</v>
      </c>
      <c r="AP141" s="378">
        <f t="shared" si="413"/>
        <v>26491</v>
      </c>
      <c r="AQ141" s="378">
        <f t="shared" si="413"/>
        <v>0</v>
      </c>
      <c r="AR141" s="398">
        <f t="shared" si="413"/>
        <v>4.75</v>
      </c>
    </row>
    <row r="142" spans="1:44" s="152" customFormat="1" ht="12.75" customHeight="1" x14ac:dyDescent="0.2">
      <c r="A142" s="154">
        <v>37</v>
      </c>
      <c r="B142" s="155">
        <v>3432</v>
      </c>
      <c r="C142" s="155">
        <v>600078329</v>
      </c>
      <c r="D142" s="155">
        <v>70695121</v>
      </c>
      <c r="E142" s="156" t="s">
        <v>76</v>
      </c>
      <c r="F142" s="155">
        <v>3117</v>
      </c>
      <c r="G142" s="156" t="s">
        <v>280</v>
      </c>
      <c r="H142" s="157" t="s">
        <v>262</v>
      </c>
      <c r="I142" s="627">
        <f>SUM(J142:L142)</f>
        <v>4827371</v>
      </c>
      <c r="J142" s="410">
        <v>3581136</v>
      </c>
      <c r="K142" s="431">
        <f t="shared" ref="K142:K144" si="414">ROUND(J142*33.8%,0)</f>
        <v>1210424</v>
      </c>
      <c r="L142" s="431">
        <f t="shared" ref="L142:L144" si="415">ROUND(J142*1%,0)</f>
        <v>35811</v>
      </c>
      <c r="M142" s="431">
        <v>0</v>
      </c>
      <c r="N142" s="783">
        <v>5.45</v>
      </c>
      <c r="O142" s="445">
        <f>V142*-1</f>
        <v>0</v>
      </c>
      <c r="P142" s="325">
        <v>0</v>
      </c>
      <c r="Q142" s="325">
        <v>0</v>
      </c>
      <c r="R142" s="325">
        <v>0</v>
      </c>
      <c r="S142" s="325">
        <v>0</v>
      </c>
      <c r="T142" s="325">
        <v>0</v>
      </c>
      <c r="U142" s="492">
        <f t="shared" ref="U142:U144" si="416">O142+P142+Q142+R142+S142+T142</f>
        <v>0</v>
      </c>
      <c r="V142" s="325">
        <v>0</v>
      </c>
      <c r="W142" s="325">
        <v>0</v>
      </c>
      <c r="X142" s="325">
        <v>0</v>
      </c>
      <c r="Y142" s="492">
        <f t="shared" ref="Y142:Y144" si="417">V142+W142+X142</f>
        <v>0</v>
      </c>
      <c r="Z142" s="492">
        <f t="shared" ref="Z142:Z144" si="418">U142+Y142</f>
        <v>0</v>
      </c>
      <c r="AA142" s="494">
        <f t="shared" ref="AA142:AA144" si="419">ROUND((U142+Y142)*33.8%,0)</f>
        <v>0</v>
      </c>
      <c r="AB142" s="494">
        <f t="shared" ref="AB142:AB144" si="420">ROUND(U142*1%,0)</f>
        <v>0</v>
      </c>
      <c r="AC142" s="492">
        <v>0</v>
      </c>
      <c r="AD142" s="789">
        <f t="shared" ref="AD142:AD144" si="421">Z142+AA142+AB142+AC142</f>
        <v>0</v>
      </c>
      <c r="AE142" s="715">
        <v>0</v>
      </c>
      <c r="AF142" s="326">
        <v>0</v>
      </c>
      <c r="AG142" s="326">
        <v>0</v>
      </c>
      <c r="AH142" s="326">
        <v>0</v>
      </c>
      <c r="AI142" s="326">
        <v>0</v>
      </c>
      <c r="AJ142" s="326">
        <v>0</v>
      </c>
      <c r="AK142" s="626">
        <f t="shared" ref="AK142:AK144" si="422">SUM(AE142:AJ142)</f>
        <v>0</v>
      </c>
      <c r="AL142" s="493">
        <f>I142+AD142</f>
        <v>4827371</v>
      </c>
      <c r="AM142" s="492">
        <f>J142+U142</f>
        <v>3581136</v>
      </c>
      <c r="AN142" s="492">
        <f t="shared" ref="AN142:AN144" si="423">Y142</f>
        <v>0</v>
      </c>
      <c r="AO142" s="492">
        <f t="shared" ref="AO142:AQ144" si="424">K142+AA142</f>
        <v>1210424</v>
      </c>
      <c r="AP142" s="492">
        <f t="shared" si="424"/>
        <v>35811</v>
      </c>
      <c r="AQ142" s="578">
        <f t="shared" si="424"/>
        <v>0</v>
      </c>
      <c r="AR142" s="491">
        <f t="shared" ref="AR142:AR144" si="425">N142+AK142</f>
        <v>5.45</v>
      </c>
    </row>
    <row r="143" spans="1:44" s="152" customFormat="1" x14ac:dyDescent="0.2">
      <c r="A143" s="154">
        <v>37</v>
      </c>
      <c r="B143" s="155">
        <v>3432</v>
      </c>
      <c r="C143" s="155">
        <v>600078329</v>
      </c>
      <c r="D143" s="155">
        <v>70695121</v>
      </c>
      <c r="E143" s="156" t="s">
        <v>76</v>
      </c>
      <c r="F143" s="155">
        <v>3117</v>
      </c>
      <c r="G143" s="156" t="s">
        <v>278</v>
      </c>
      <c r="H143" s="157" t="s">
        <v>263</v>
      </c>
      <c r="I143" s="586">
        <f>SUM(J143:L143)</f>
        <v>0</v>
      </c>
      <c r="J143" s="323"/>
      <c r="K143" s="431">
        <f t="shared" si="414"/>
        <v>0</v>
      </c>
      <c r="L143" s="431">
        <f t="shared" si="415"/>
        <v>0</v>
      </c>
      <c r="M143" s="431">
        <v>0</v>
      </c>
      <c r="N143" s="784">
        <v>0</v>
      </c>
      <c r="O143" s="440">
        <f>V143*-1</f>
        <v>0</v>
      </c>
      <c r="P143" s="325">
        <v>749606</v>
      </c>
      <c r="Q143" s="325">
        <v>0</v>
      </c>
      <c r="R143" s="325">
        <v>0</v>
      </c>
      <c r="S143" s="325">
        <v>0</v>
      </c>
      <c r="T143" s="325">
        <v>0</v>
      </c>
      <c r="U143" s="492">
        <f t="shared" si="416"/>
        <v>749606</v>
      </c>
      <c r="V143" s="325">
        <v>0</v>
      </c>
      <c r="W143" s="325">
        <v>0</v>
      </c>
      <c r="X143" s="325">
        <v>0</v>
      </c>
      <c r="Y143" s="492">
        <f t="shared" si="417"/>
        <v>0</v>
      </c>
      <c r="Z143" s="492">
        <f t="shared" si="418"/>
        <v>749606</v>
      </c>
      <c r="AA143" s="494">
        <f t="shared" si="419"/>
        <v>253367</v>
      </c>
      <c r="AB143" s="494">
        <f t="shared" si="420"/>
        <v>7496</v>
      </c>
      <c r="AC143" s="492">
        <v>0</v>
      </c>
      <c r="AD143" s="789">
        <f t="shared" si="421"/>
        <v>1010469</v>
      </c>
      <c r="AE143" s="715">
        <v>0</v>
      </c>
      <c r="AF143" s="326">
        <f>1.89</f>
        <v>1.89</v>
      </c>
      <c r="AG143" s="326">
        <v>0</v>
      </c>
      <c r="AH143" s="326">
        <v>0</v>
      </c>
      <c r="AI143" s="326">
        <v>0</v>
      </c>
      <c r="AJ143" s="326">
        <v>0</v>
      </c>
      <c r="AK143" s="626">
        <f t="shared" si="422"/>
        <v>1.89</v>
      </c>
      <c r="AL143" s="493">
        <f>I143+AD143</f>
        <v>1010469</v>
      </c>
      <c r="AM143" s="492">
        <f>J143+U143</f>
        <v>749606</v>
      </c>
      <c r="AN143" s="492">
        <f t="shared" si="423"/>
        <v>0</v>
      </c>
      <c r="AO143" s="492">
        <f t="shared" si="424"/>
        <v>253367</v>
      </c>
      <c r="AP143" s="492">
        <f t="shared" si="424"/>
        <v>7496</v>
      </c>
      <c r="AQ143" s="578">
        <f t="shared" si="424"/>
        <v>0</v>
      </c>
      <c r="AR143" s="491">
        <f t="shared" si="425"/>
        <v>1.89</v>
      </c>
    </row>
    <row r="144" spans="1:44" s="152" customFormat="1" ht="12.75" customHeight="1" x14ac:dyDescent="0.2">
      <c r="A144" s="154">
        <v>37</v>
      </c>
      <c r="B144" s="155">
        <v>3432</v>
      </c>
      <c r="C144" s="155">
        <v>600078329</v>
      </c>
      <c r="D144" s="155">
        <v>70695121</v>
      </c>
      <c r="E144" s="156" t="s">
        <v>77</v>
      </c>
      <c r="F144" s="155">
        <v>3143</v>
      </c>
      <c r="G144" s="156" t="s">
        <v>794</v>
      </c>
      <c r="H144" s="157" t="s">
        <v>262</v>
      </c>
      <c r="I144" s="586">
        <f>SUM(J144:L144)</f>
        <v>689902</v>
      </c>
      <c r="J144" s="323">
        <v>511797</v>
      </c>
      <c r="K144" s="431">
        <f t="shared" si="414"/>
        <v>172987</v>
      </c>
      <c r="L144" s="431">
        <f t="shared" si="415"/>
        <v>5118</v>
      </c>
      <c r="M144" s="431">
        <v>0</v>
      </c>
      <c r="N144" s="784">
        <v>0.93</v>
      </c>
      <c r="O144" s="440">
        <f>V144*-1</f>
        <v>0</v>
      </c>
      <c r="P144" s="325">
        <v>0</v>
      </c>
      <c r="Q144" s="325">
        <v>0</v>
      </c>
      <c r="R144" s="325">
        <v>0</v>
      </c>
      <c r="S144" s="325">
        <v>0</v>
      </c>
      <c r="T144" s="325">
        <v>0</v>
      </c>
      <c r="U144" s="492">
        <f t="shared" si="416"/>
        <v>0</v>
      </c>
      <c r="V144" s="325">
        <v>0</v>
      </c>
      <c r="W144" s="325">
        <v>0</v>
      </c>
      <c r="X144" s="325">
        <v>0</v>
      </c>
      <c r="Y144" s="492">
        <f t="shared" si="417"/>
        <v>0</v>
      </c>
      <c r="Z144" s="492">
        <f t="shared" si="418"/>
        <v>0</v>
      </c>
      <c r="AA144" s="494">
        <f t="shared" si="419"/>
        <v>0</v>
      </c>
      <c r="AB144" s="494">
        <f t="shared" si="420"/>
        <v>0</v>
      </c>
      <c r="AC144" s="492">
        <v>0</v>
      </c>
      <c r="AD144" s="789">
        <f t="shared" si="421"/>
        <v>0</v>
      </c>
      <c r="AE144" s="715">
        <v>0</v>
      </c>
      <c r="AF144" s="326">
        <v>0</v>
      </c>
      <c r="AG144" s="326">
        <v>0</v>
      </c>
      <c r="AH144" s="326">
        <v>0</v>
      </c>
      <c r="AI144" s="326">
        <v>0</v>
      </c>
      <c r="AJ144" s="326">
        <v>0</v>
      </c>
      <c r="AK144" s="626">
        <f t="shared" si="422"/>
        <v>0</v>
      </c>
      <c r="AL144" s="493">
        <f>I144+AD144</f>
        <v>689902</v>
      </c>
      <c r="AM144" s="492">
        <f>J144+U144</f>
        <v>511797</v>
      </c>
      <c r="AN144" s="492">
        <f t="shared" si="423"/>
        <v>0</v>
      </c>
      <c r="AO144" s="492">
        <f t="shared" si="424"/>
        <v>172987</v>
      </c>
      <c r="AP144" s="492">
        <f t="shared" si="424"/>
        <v>5118</v>
      </c>
      <c r="AQ144" s="578">
        <f t="shared" si="424"/>
        <v>0</v>
      </c>
      <c r="AR144" s="491">
        <f t="shared" si="425"/>
        <v>0.93</v>
      </c>
    </row>
    <row r="145" spans="1:44" s="152" customFormat="1" ht="13.5" customHeight="1" x14ac:dyDescent="0.2">
      <c r="A145" s="105">
        <v>37</v>
      </c>
      <c r="B145" s="12">
        <v>3432</v>
      </c>
      <c r="C145" s="104">
        <v>600078329</v>
      </c>
      <c r="D145" s="104">
        <v>70695121</v>
      </c>
      <c r="E145" s="153" t="s">
        <v>78</v>
      </c>
      <c r="F145" s="12"/>
      <c r="G145" s="153"/>
      <c r="H145" s="407"/>
      <c r="I145" s="782">
        <f t="shared" ref="I145:AR145" si="426">SUM(I142:I144)</f>
        <v>5517273</v>
      </c>
      <c r="J145" s="378">
        <f t="shared" si="426"/>
        <v>4092933</v>
      </c>
      <c r="K145" s="378">
        <f t="shared" si="426"/>
        <v>1383411</v>
      </c>
      <c r="L145" s="378">
        <f t="shared" si="426"/>
        <v>40929</v>
      </c>
      <c r="M145" s="378">
        <f t="shared" si="426"/>
        <v>0</v>
      </c>
      <c r="N145" s="340">
        <f t="shared" si="426"/>
        <v>6.38</v>
      </c>
      <c r="O145" s="444">
        <f t="shared" si="426"/>
        <v>0</v>
      </c>
      <c r="P145" s="378">
        <f t="shared" si="426"/>
        <v>749606</v>
      </c>
      <c r="Q145" s="378">
        <f t="shared" si="426"/>
        <v>0</v>
      </c>
      <c r="R145" s="378">
        <f t="shared" si="426"/>
        <v>0</v>
      </c>
      <c r="S145" s="378">
        <f t="shared" si="426"/>
        <v>0</v>
      </c>
      <c r="T145" s="378">
        <f t="shared" si="426"/>
        <v>0</v>
      </c>
      <c r="U145" s="378">
        <f t="shared" si="426"/>
        <v>749606</v>
      </c>
      <c r="V145" s="378">
        <f t="shared" si="426"/>
        <v>0</v>
      </c>
      <c r="W145" s="378">
        <f t="shared" si="426"/>
        <v>0</v>
      </c>
      <c r="X145" s="378">
        <f t="shared" si="426"/>
        <v>0</v>
      </c>
      <c r="Y145" s="378">
        <f t="shared" si="426"/>
        <v>0</v>
      </c>
      <c r="Z145" s="378">
        <f t="shared" si="426"/>
        <v>749606</v>
      </c>
      <c r="AA145" s="378">
        <f t="shared" si="426"/>
        <v>253367</v>
      </c>
      <c r="AB145" s="378">
        <f t="shared" si="426"/>
        <v>7496</v>
      </c>
      <c r="AC145" s="378">
        <f t="shared" si="426"/>
        <v>0</v>
      </c>
      <c r="AD145" s="788">
        <f t="shared" si="426"/>
        <v>1010469</v>
      </c>
      <c r="AE145" s="790">
        <f t="shared" si="426"/>
        <v>0</v>
      </c>
      <c r="AF145" s="398">
        <f t="shared" si="426"/>
        <v>1.89</v>
      </c>
      <c r="AG145" s="398">
        <f t="shared" si="426"/>
        <v>0</v>
      </c>
      <c r="AH145" s="398">
        <f t="shared" si="426"/>
        <v>0</v>
      </c>
      <c r="AI145" s="398">
        <f t="shared" si="426"/>
        <v>0</v>
      </c>
      <c r="AJ145" s="398">
        <f t="shared" si="426"/>
        <v>0</v>
      </c>
      <c r="AK145" s="340">
        <f t="shared" si="426"/>
        <v>1.89</v>
      </c>
      <c r="AL145" s="444">
        <f t="shared" si="426"/>
        <v>6527742</v>
      </c>
      <c r="AM145" s="378">
        <f t="shared" si="426"/>
        <v>4842539</v>
      </c>
      <c r="AN145" s="378">
        <f t="shared" si="426"/>
        <v>0</v>
      </c>
      <c r="AO145" s="378">
        <f t="shared" si="426"/>
        <v>1636778</v>
      </c>
      <c r="AP145" s="378">
        <f t="shared" si="426"/>
        <v>48425</v>
      </c>
      <c r="AQ145" s="378">
        <f t="shared" si="426"/>
        <v>0</v>
      </c>
      <c r="AR145" s="398">
        <f t="shared" si="426"/>
        <v>8.27</v>
      </c>
    </row>
    <row r="146" spans="1:44" s="152" customFormat="1" ht="12.75" customHeight="1" x14ac:dyDescent="0.2">
      <c r="A146" s="154">
        <v>38</v>
      </c>
      <c r="B146" s="155">
        <v>3435</v>
      </c>
      <c r="C146" s="155">
        <v>650022131</v>
      </c>
      <c r="D146" s="155">
        <v>70981531</v>
      </c>
      <c r="E146" s="156" t="s">
        <v>79</v>
      </c>
      <c r="F146" s="155">
        <v>3111</v>
      </c>
      <c r="G146" s="156" t="s">
        <v>277</v>
      </c>
      <c r="H146" s="157" t="s">
        <v>262</v>
      </c>
      <c r="I146" s="627">
        <f>SUM(J146:L146)</f>
        <v>8243634</v>
      </c>
      <c r="J146" s="410">
        <v>6115455</v>
      </c>
      <c r="K146" s="431">
        <f t="shared" ref="K146:K150" si="427">ROUND(J146*33.8%,0)</f>
        <v>2067024</v>
      </c>
      <c r="L146" s="431">
        <f t="shared" ref="L146:L150" si="428">ROUND(J146*1%,0)</f>
        <v>61155</v>
      </c>
      <c r="M146" s="431">
        <v>0</v>
      </c>
      <c r="N146" s="783">
        <v>9.7899999999999991</v>
      </c>
      <c r="O146" s="445">
        <f>V146*-1</f>
        <v>0</v>
      </c>
      <c r="P146" s="325">
        <v>0</v>
      </c>
      <c r="Q146" s="325">
        <v>0</v>
      </c>
      <c r="R146" s="325">
        <v>0</v>
      </c>
      <c r="S146" s="325">
        <v>0</v>
      </c>
      <c r="T146" s="325">
        <v>0</v>
      </c>
      <c r="U146" s="492">
        <f t="shared" ref="U146:U150" si="429">O146+P146+Q146+R146+S146+T146</f>
        <v>0</v>
      </c>
      <c r="V146" s="325">
        <v>0</v>
      </c>
      <c r="W146" s="325">
        <v>0</v>
      </c>
      <c r="X146" s="325">
        <v>0</v>
      </c>
      <c r="Y146" s="492">
        <f t="shared" ref="Y146:Y150" si="430">V146+W146+X146</f>
        <v>0</v>
      </c>
      <c r="Z146" s="492">
        <f t="shared" ref="Z146:Z150" si="431">U146+Y146</f>
        <v>0</v>
      </c>
      <c r="AA146" s="494">
        <f t="shared" ref="AA146:AA150" si="432">ROUND((U146+Y146)*33.8%,0)</f>
        <v>0</v>
      </c>
      <c r="AB146" s="494">
        <f t="shared" ref="AB146:AB150" si="433">ROUND(U146*1%,0)</f>
        <v>0</v>
      </c>
      <c r="AC146" s="492">
        <v>0</v>
      </c>
      <c r="AD146" s="789">
        <f t="shared" ref="AD146:AD150" si="434">Z146+AA146+AB146+AC146</f>
        <v>0</v>
      </c>
      <c r="AE146" s="715">
        <v>0</v>
      </c>
      <c r="AF146" s="326">
        <v>0</v>
      </c>
      <c r="AG146" s="326">
        <v>0</v>
      </c>
      <c r="AH146" s="326">
        <v>0</v>
      </c>
      <c r="AI146" s="326">
        <v>0</v>
      </c>
      <c r="AJ146" s="326">
        <v>0</v>
      </c>
      <c r="AK146" s="626">
        <f t="shared" ref="AK146:AK150" si="435">SUM(AE146:AJ146)</f>
        <v>0</v>
      </c>
      <c r="AL146" s="493">
        <f>I146+AD146</f>
        <v>8243634</v>
      </c>
      <c r="AM146" s="492">
        <f>J146+U146</f>
        <v>6115455</v>
      </c>
      <c r="AN146" s="492">
        <f t="shared" ref="AN146:AN150" si="436">Y146</f>
        <v>0</v>
      </c>
      <c r="AO146" s="492">
        <f t="shared" ref="AO146:AQ150" si="437">K146+AA146</f>
        <v>2067024</v>
      </c>
      <c r="AP146" s="492">
        <f t="shared" si="437"/>
        <v>61155</v>
      </c>
      <c r="AQ146" s="578">
        <f t="shared" si="437"/>
        <v>0</v>
      </c>
      <c r="AR146" s="491">
        <f t="shared" ref="AR146:AR150" si="438">N146+AK146</f>
        <v>9.7899999999999991</v>
      </c>
    </row>
    <row r="147" spans="1:44" s="152" customFormat="1" ht="13.5" customHeight="1" x14ac:dyDescent="0.2">
      <c r="A147" s="154">
        <v>38</v>
      </c>
      <c r="B147" s="155">
        <v>3435</v>
      </c>
      <c r="C147" s="155">
        <v>650022131</v>
      </c>
      <c r="D147" s="155">
        <v>70981531</v>
      </c>
      <c r="E147" s="156" t="s">
        <v>79</v>
      </c>
      <c r="F147" s="155">
        <v>3113</v>
      </c>
      <c r="G147" s="156" t="s">
        <v>280</v>
      </c>
      <c r="H147" s="157" t="s">
        <v>262</v>
      </c>
      <c r="I147" s="586">
        <f>SUM(J147:L147)</f>
        <v>23662375</v>
      </c>
      <c r="J147" s="323">
        <v>17553691</v>
      </c>
      <c r="K147" s="431">
        <f t="shared" si="427"/>
        <v>5933148</v>
      </c>
      <c r="L147" s="431">
        <f>ROUND(J147*1%,0)-1</f>
        <v>175536</v>
      </c>
      <c r="M147" s="431">
        <v>0</v>
      </c>
      <c r="N147" s="784">
        <v>24.27</v>
      </c>
      <c r="O147" s="440">
        <f>V147*-1</f>
        <v>-6000</v>
      </c>
      <c r="P147" s="325">
        <v>0</v>
      </c>
      <c r="Q147" s="325">
        <v>0</v>
      </c>
      <c r="R147" s="325">
        <v>0</v>
      </c>
      <c r="S147" s="325">
        <v>0</v>
      </c>
      <c r="T147" s="325">
        <v>0</v>
      </c>
      <c r="U147" s="492">
        <f t="shared" si="429"/>
        <v>-6000</v>
      </c>
      <c r="V147" s="325">
        <v>6000</v>
      </c>
      <c r="W147" s="325">
        <v>0</v>
      </c>
      <c r="X147" s="325">
        <v>0</v>
      </c>
      <c r="Y147" s="492">
        <f t="shared" si="430"/>
        <v>6000</v>
      </c>
      <c r="Z147" s="492">
        <f t="shared" si="431"/>
        <v>0</v>
      </c>
      <c r="AA147" s="494">
        <f t="shared" si="432"/>
        <v>0</v>
      </c>
      <c r="AB147" s="494">
        <f t="shared" si="433"/>
        <v>-60</v>
      </c>
      <c r="AC147" s="492">
        <v>0</v>
      </c>
      <c r="AD147" s="789">
        <f t="shared" si="434"/>
        <v>-60</v>
      </c>
      <c r="AE147" s="715">
        <v>0</v>
      </c>
      <c r="AF147" s="326">
        <v>0</v>
      </c>
      <c r="AG147" s="326">
        <v>0</v>
      </c>
      <c r="AH147" s="326">
        <v>0</v>
      </c>
      <c r="AI147" s="326">
        <v>0</v>
      </c>
      <c r="AJ147" s="326">
        <v>0</v>
      </c>
      <c r="AK147" s="626">
        <f t="shared" si="435"/>
        <v>0</v>
      </c>
      <c r="AL147" s="493">
        <f>I147+AD147</f>
        <v>23662315</v>
      </c>
      <c r="AM147" s="492">
        <f>J147+U147</f>
        <v>17547691</v>
      </c>
      <c r="AN147" s="492">
        <f t="shared" si="436"/>
        <v>6000</v>
      </c>
      <c r="AO147" s="492">
        <f t="shared" si="437"/>
        <v>5933148</v>
      </c>
      <c r="AP147" s="492">
        <f t="shared" si="437"/>
        <v>175476</v>
      </c>
      <c r="AQ147" s="578">
        <f t="shared" si="437"/>
        <v>0</v>
      </c>
      <c r="AR147" s="491">
        <f t="shared" si="438"/>
        <v>24.27</v>
      </c>
    </row>
    <row r="148" spans="1:44" s="152" customFormat="1" ht="13.5" customHeight="1" x14ac:dyDescent="0.2">
      <c r="A148" s="154">
        <v>38</v>
      </c>
      <c r="B148" s="155">
        <v>3435</v>
      </c>
      <c r="C148" s="155">
        <v>650022131</v>
      </c>
      <c r="D148" s="155">
        <v>70981531</v>
      </c>
      <c r="E148" s="156" t="s">
        <v>79</v>
      </c>
      <c r="F148" s="155">
        <v>3113</v>
      </c>
      <c r="G148" s="156" t="s">
        <v>799</v>
      </c>
      <c r="H148" s="157" t="s">
        <v>262</v>
      </c>
      <c r="I148" s="586">
        <f>SUM(J148:L148)</f>
        <v>380532</v>
      </c>
      <c r="J148" s="323">
        <v>282294</v>
      </c>
      <c r="K148" s="431">
        <f t="shared" si="427"/>
        <v>95415</v>
      </c>
      <c r="L148" s="431">
        <f t="shared" si="428"/>
        <v>2823</v>
      </c>
      <c r="M148" s="431">
        <v>0</v>
      </c>
      <c r="N148" s="784">
        <v>0.5</v>
      </c>
      <c r="O148" s="440">
        <f>V148*-1</f>
        <v>0</v>
      </c>
      <c r="P148" s="325">
        <v>0</v>
      </c>
      <c r="Q148" s="325">
        <v>0</v>
      </c>
      <c r="R148" s="325">
        <v>159742</v>
      </c>
      <c r="S148" s="325">
        <v>0</v>
      </c>
      <c r="T148" s="325">
        <v>0</v>
      </c>
      <c r="U148" s="492">
        <f t="shared" si="429"/>
        <v>159742</v>
      </c>
      <c r="V148" s="325">
        <v>0</v>
      </c>
      <c r="W148" s="325">
        <v>0</v>
      </c>
      <c r="X148" s="325">
        <v>0</v>
      </c>
      <c r="Y148" s="492">
        <f t="shared" si="430"/>
        <v>0</v>
      </c>
      <c r="Z148" s="492">
        <f t="shared" si="431"/>
        <v>159742</v>
      </c>
      <c r="AA148" s="494">
        <f t="shared" si="432"/>
        <v>53993</v>
      </c>
      <c r="AB148" s="494">
        <f t="shared" si="433"/>
        <v>1597</v>
      </c>
      <c r="AC148" s="492">
        <v>0</v>
      </c>
      <c r="AD148" s="789">
        <f t="shared" si="434"/>
        <v>215332</v>
      </c>
      <c r="AE148" s="715">
        <v>0</v>
      </c>
      <c r="AF148" s="326">
        <v>0</v>
      </c>
      <c r="AG148" s="326">
        <v>0.28999999999999998</v>
      </c>
      <c r="AH148" s="326">
        <v>0</v>
      </c>
      <c r="AI148" s="326">
        <v>0</v>
      </c>
      <c r="AJ148" s="326">
        <v>0</v>
      </c>
      <c r="AK148" s="626">
        <f t="shared" si="435"/>
        <v>0.28999999999999998</v>
      </c>
      <c r="AL148" s="493">
        <f>I148+AD148</f>
        <v>595864</v>
      </c>
      <c r="AM148" s="492">
        <f>J148+U148</f>
        <v>442036</v>
      </c>
      <c r="AN148" s="492">
        <f t="shared" si="436"/>
        <v>0</v>
      </c>
      <c r="AO148" s="492">
        <f t="shared" si="437"/>
        <v>149408</v>
      </c>
      <c r="AP148" s="492">
        <f t="shared" si="437"/>
        <v>4420</v>
      </c>
      <c r="AQ148" s="578">
        <f t="shared" si="437"/>
        <v>0</v>
      </c>
      <c r="AR148" s="491">
        <f t="shared" si="438"/>
        <v>0.79</v>
      </c>
    </row>
    <row r="149" spans="1:44" s="152" customFormat="1" ht="13.5" customHeight="1" x14ac:dyDescent="0.2">
      <c r="A149" s="154">
        <v>38</v>
      </c>
      <c r="B149" s="155">
        <v>3435</v>
      </c>
      <c r="C149" s="155">
        <v>650022131</v>
      </c>
      <c r="D149" s="155">
        <v>70981531</v>
      </c>
      <c r="E149" s="156" t="s">
        <v>79</v>
      </c>
      <c r="F149" s="155">
        <v>3113</v>
      </c>
      <c r="G149" s="156" t="s">
        <v>278</v>
      </c>
      <c r="H149" s="157" t="s">
        <v>263</v>
      </c>
      <c r="I149" s="586">
        <f>SUM(J149:L149)</f>
        <v>0</v>
      </c>
      <c r="J149" s="323"/>
      <c r="K149" s="431">
        <f t="shared" si="427"/>
        <v>0</v>
      </c>
      <c r="L149" s="431">
        <f t="shared" si="428"/>
        <v>0</v>
      </c>
      <c r="M149" s="431">
        <v>0</v>
      </c>
      <c r="N149" s="784">
        <v>0</v>
      </c>
      <c r="O149" s="440">
        <f>V149*-1</f>
        <v>0</v>
      </c>
      <c r="P149" s="325">
        <f>5823093-24283</f>
        <v>5798810</v>
      </c>
      <c r="Q149" s="325">
        <v>0</v>
      </c>
      <c r="R149" s="325">
        <v>0</v>
      </c>
      <c r="S149" s="325">
        <v>0</v>
      </c>
      <c r="T149" s="325">
        <v>0</v>
      </c>
      <c r="U149" s="492">
        <f t="shared" si="429"/>
        <v>5798810</v>
      </c>
      <c r="V149" s="325">
        <v>0</v>
      </c>
      <c r="W149" s="325">
        <v>0</v>
      </c>
      <c r="X149" s="325">
        <v>0</v>
      </c>
      <c r="Y149" s="492">
        <f t="shared" si="430"/>
        <v>0</v>
      </c>
      <c r="Z149" s="492">
        <f t="shared" si="431"/>
        <v>5798810</v>
      </c>
      <c r="AA149" s="494">
        <f t="shared" si="432"/>
        <v>1959998</v>
      </c>
      <c r="AB149" s="494">
        <f t="shared" si="433"/>
        <v>57988</v>
      </c>
      <c r="AC149" s="492">
        <v>0</v>
      </c>
      <c r="AD149" s="789">
        <f t="shared" si="434"/>
        <v>7816796</v>
      </c>
      <c r="AE149" s="715">
        <v>0</v>
      </c>
      <c r="AF149" s="326">
        <f>14.46-0.05</f>
        <v>14.41</v>
      </c>
      <c r="AG149" s="326">
        <v>0</v>
      </c>
      <c r="AH149" s="326">
        <v>0</v>
      </c>
      <c r="AI149" s="326">
        <v>0</v>
      </c>
      <c r="AJ149" s="326">
        <v>0</v>
      </c>
      <c r="AK149" s="626">
        <f t="shared" si="435"/>
        <v>14.41</v>
      </c>
      <c r="AL149" s="493">
        <f>I149+AD149</f>
        <v>7816796</v>
      </c>
      <c r="AM149" s="492">
        <f>J149+U149</f>
        <v>5798810</v>
      </c>
      <c r="AN149" s="492">
        <f t="shared" si="436"/>
        <v>0</v>
      </c>
      <c r="AO149" s="492">
        <f t="shared" si="437"/>
        <v>1959998</v>
      </c>
      <c r="AP149" s="492">
        <f t="shared" si="437"/>
        <v>57988</v>
      </c>
      <c r="AQ149" s="578">
        <f t="shared" si="437"/>
        <v>0</v>
      </c>
      <c r="AR149" s="491">
        <f t="shared" si="438"/>
        <v>14.41</v>
      </c>
    </row>
    <row r="150" spans="1:44" s="152" customFormat="1" ht="12.75" customHeight="1" x14ac:dyDescent="0.2">
      <c r="A150" s="154">
        <v>38</v>
      </c>
      <c r="B150" s="155">
        <v>3435</v>
      </c>
      <c r="C150" s="155">
        <v>650022131</v>
      </c>
      <c r="D150" s="155">
        <v>70981531</v>
      </c>
      <c r="E150" s="156" t="s">
        <v>79</v>
      </c>
      <c r="F150" s="155">
        <v>3143</v>
      </c>
      <c r="G150" s="156" t="s">
        <v>794</v>
      </c>
      <c r="H150" s="157" t="s">
        <v>262</v>
      </c>
      <c r="I150" s="586">
        <f>SUM(J150:L150)</f>
        <v>2202437</v>
      </c>
      <c r="J150" s="323">
        <v>1633855</v>
      </c>
      <c r="K150" s="431">
        <f t="shared" si="427"/>
        <v>552243</v>
      </c>
      <c r="L150" s="431">
        <f t="shared" si="428"/>
        <v>16339</v>
      </c>
      <c r="M150" s="431">
        <v>0</v>
      </c>
      <c r="N150" s="784">
        <v>3.14</v>
      </c>
      <c r="O150" s="440">
        <f>V150*-1</f>
        <v>0</v>
      </c>
      <c r="P150" s="325">
        <v>0</v>
      </c>
      <c r="Q150" s="325">
        <v>0</v>
      </c>
      <c r="R150" s="325">
        <v>0</v>
      </c>
      <c r="S150" s="325">
        <v>0</v>
      </c>
      <c r="T150" s="325">
        <v>0</v>
      </c>
      <c r="U150" s="492">
        <f t="shared" si="429"/>
        <v>0</v>
      </c>
      <c r="V150" s="325">
        <v>0</v>
      </c>
      <c r="W150" s="325">
        <v>0</v>
      </c>
      <c r="X150" s="325">
        <v>0</v>
      </c>
      <c r="Y150" s="492">
        <f t="shared" si="430"/>
        <v>0</v>
      </c>
      <c r="Z150" s="492">
        <f t="shared" si="431"/>
        <v>0</v>
      </c>
      <c r="AA150" s="494">
        <f t="shared" si="432"/>
        <v>0</v>
      </c>
      <c r="AB150" s="494">
        <f t="shared" si="433"/>
        <v>0</v>
      </c>
      <c r="AC150" s="492">
        <v>0</v>
      </c>
      <c r="AD150" s="789">
        <f t="shared" si="434"/>
        <v>0</v>
      </c>
      <c r="AE150" s="715">
        <v>0</v>
      </c>
      <c r="AF150" s="326">
        <v>0</v>
      </c>
      <c r="AG150" s="326">
        <v>0</v>
      </c>
      <c r="AH150" s="326">
        <v>0</v>
      </c>
      <c r="AI150" s="326">
        <v>0</v>
      </c>
      <c r="AJ150" s="326">
        <v>0</v>
      </c>
      <c r="AK150" s="626">
        <f t="shared" si="435"/>
        <v>0</v>
      </c>
      <c r="AL150" s="493">
        <f>I150+AD150</f>
        <v>2202437</v>
      </c>
      <c r="AM150" s="492">
        <f>J150+U150</f>
        <v>1633855</v>
      </c>
      <c r="AN150" s="492">
        <f t="shared" si="436"/>
        <v>0</v>
      </c>
      <c r="AO150" s="492">
        <f t="shared" si="437"/>
        <v>552243</v>
      </c>
      <c r="AP150" s="492">
        <f t="shared" si="437"/>
        <v>16339</v>
      </c>
      <c r="AQ150" s="578">
        <f t="shared" si="437"/>
        <v>0</v>
      </c>
      <c r="AR150" s="491">
        <f t="shared" si="438"/>
        <v>3.14</v>
      </c>
    </row>
    <row r="151" spans="1:44" s="152" customFormat="1" ht="12.75" customHeight="1" thickBot="1" x14ac:dyDescent="0.25">
      <c r="A151" s="108">
        <v>38</v>
      </c>
      <c r="B151" s="109">
        <v>3435</v>
      </c>
      <c r="C151" s="110">
        <v>650022131</v>
      </c>
      <c r="D151" s="110">
        <v>70981531</v>
      </c>
      <c r="E151" s="158" t="s">
        <v>80</v>
      </c>
      <c r="F151" s="109"/>
      <c r="G151" s="158"/>
      <c r="H151" s="408"/>
      <c r="I151" s="785">
        <f t="shared" ref="I151:AR151" si="439">SUM(I146:I150)</f>
        <v>34488978</v>
      </c>
      <c r="J151" s="414">
        <f t="shared" si="439"/>
        <v>25585295</v>
      </c>
      <c r="K151" s="414">
        <f t="shared" si="439"/>
        <v>8647830</v>
      </c>
      <c r="L151" s="414">
        <f t="shared" si="439"/>
        <v>255853</v>
      </c>
      <c r="M151" s="414">
        <f t="shared" si="439"/>
        <v>0</v>
      </c>
      <c r="N151" s="786">
        <f t="shared" si="439"/>
        <v>37.700000000000003</v>
      </c>
      <c r="O151" s="446">
        <f t="shared" si="439"/>
        <v>-6000</v>
      </c>
      <c r="P151" s="414">
        <f t="shared" si="439"/>
        <v>5798810</v>
      </c>
      <c r="Q151" s="414">
        <f t="shared" si="439"/>
        <v>0</v>
      </c>
      <c r="R151" s="414">
        <f t="shared" si="439"/>
        <v>159742</v>
      </c>
      <c r="S151" s="414">
        <f t="shared" si="439"/>
        <v>0</v>
      </c>
      <c r="T151" s="414">
        <f t="shared" si="439"/>
        <v>0</v>
      </c>
      <c r="U151" s="414">
        <f t="shared" si="439"/>
        <v>5952552</v>
      </c>
      <c r="V151" s="378">
        <f t="shared" si="439"/>
        <v>6000</v>
      </c>
      <c r="W151" s="378">
        <f t="shared" si="439"/>
        <v>0</v>
      </c>
      <c r="X151" s="378">
        <f t="shared" si="439"/>
        <v>0</v>
      </c>
      <c r="Y151" s="378">
        <f t="shared" si="439"/>
        <v>6000</v>
      </c>
      <c r="Z151" s="378">
        <f t="shared" si="439"/>
        <v>5958552</v>
      </c>
      <c r="AA151" s="378">
        <f t="shared" si="439"/>
        <v>2013991</v>
      </c>
      <c r="AB151" s="378">
        <f t="shared" si="439"/>
        <v>59525</v>
      </c>
      <c r="AC151" s="378">
        <f t="shared" si="439"/>
        <v>0</v>
      </c>
      <c r="AD151" s="788">
        <f t="shared" si="439"/>
        <v>8032068</v>
      </c>
      <c r="AE151" s="791">
        <f t="shared" si="439"/>
        <v>0</v>
      </c>
      <c r="AF151" s="415">
        <f t="shared" si="439"/>
        <v>14.41</v>
      </c>
      <c r="AG151" s="415">
        <f t="shared" si="439"/>
        <v>0.28999999999999998</v>
      </c>
      <c r="AH151" s="415">
        <f t="shared" si="439"/>
        <v>0</v>
      </c>
      <c r="AI151" s="415">
        <f t="shared" si="439"/>
        <v>0</v>
      </c>
      <c r="AJ151" s="415">
        <f t="shared" si="439"/>
        <v>0</v>
      </c>
      <c r="AK151" s="786">
        <f t="shared" si="439"/>
        <v>14.7</v>
      </c>
      <c r="AL151" s="444">
        <f t="shared" si="439"/>
        <v>42521046</v>
      </c>
      <c r="AM151" s="378">
        <f t="shared" si="439"/>
        <v>31537847</v>
      </c>
      <c r="AN151" s="378">
        <f t="shared" si="439"/>
        <v>6000</v>
      </c>
      <c r="AO151" s="378">
        <f t="shared" si="439"/>
        <v>10661821</v>
      </c>
      <c r="AP151" s="378">
        <f t="shared" si="439"/>
        <v>315378</v>
      </c>
      <c r="AQ151" s="378">
        <f t="shared" si="439"/>
        <v>0</v>
      </c>
      <c r="AR151" s="398">
        <f t="shared" si="439"/>
        <v>52.400000000000006</v>
      </c>
    </row>
    <row r="152" spans="1:44" s="152" customFormat="1" ht="12.75" customHeight="1" thickBot="1" x14ac:dyDescent="0.25">
      <c r="A152" s="159"/>
      <c r="B152" s="160"/>
      <c r="C152" s="160"/>
      <c r="D152" s="160"/>
      <c r="E152" s="57" t="s">
        <v>726</v>
      </c>
      <c r="F152" s="160"/>
      <c r="G152" s="160"/>
      <c r="H152" s="404"/>
      <c r="I152" s="598">
        <f>I13+I16+I19+I22+I25+I27+I30+I33+I36+I39+I42+I45+I48+I51+I54+I57+I60+I64+I71+I76+I81+I86+I91+I96+I101+I105+I110+I112+I118+I123+I126+I130+I133+I138+I141+I145+I151+I66</f>
        <v>567294592</v>
      </c>
      <c r="J152" s="405">
        <f>J13+J16+J19+J22+J25+J27+J30+J33+J36+J39+J42+J45+J48+J51+J54+J57+J60+J64+J71+J76+J81+J86+J91+J96+J101+J105+J110+J112+J118+J123+J126+J130+J133+J138+J141+J145+J151+J66</f>
        <v>420841680</v>
      </c>
      <c r="K152" s="405">
        <f t="shared" ref="K152:M152" si="440">K13+K16+K19+K22+K25+K27+K30+K33+K36+K39+K42+K45+K48+K51+K54+K57+K60+K64+K71+K76+K81+K86+K91+K96+K101+K105+K110+K112+K118+K123+K126+K130+K133+K138+K141+K145+K151+K66</f>
        <v>142244490</v>
      </c>
      <c r="L152" s="405">
        <f t="shared" si="440"/>
        <v>4208422</v>
      </c>
      <c r="M152" s="405">
        <f t="shared" si="440"/>
        <v>0</v>
      </c>
      <c r="N152" s="403">
        <f>N13+N16+N19+N22+N25+N27+N30+N33+N36+N39+N42+N45+N48+N51+N54+N57+N60+N64+N71+N76+N81+N86+N91+N96+N101+N105+N110+N112+N118+N123+N126+N130+N133+N138+N141+N145+N151+N66</f>
        <v>625.79</v>
      </c>
      <c r="O152" s="461">
        <f>O13+O16+O19+O22+O25+O27+O30+O33+O36+O39+O42+O45+O48+O51+O54+O57+O60+O64+O71+O76+O81+O86+O91+O96+O101+O105+O110+O112+O118+O123+O126+O130+O133+O138+O141+O145+O151+O66</f>
        <v>-448776</v>
      </c>
      <c r="P152" s="405">
        <f>P13+P16+P19+P22+P25+P27+P30+P33+P36+P39+P42+P45+P48+P51+P54+P57+P60+P64+P71+P76+P81+P86+P91+P96+P101+P105+P110+P112+P118+P123+P126+P130+P133+P138+P141+P145+P151+P66</f>
        <v>51854960</v>
      </c>
      <c r="Q152" s="405">
        <f t="shared" ref="Q152:AD152" si="441">Q13+Q16+Q19+Q22+Q25+Q27+Q30+Q33+Q36+Q39+Q42+Q45+Q48+Q51+Q54+Q57+Q60+Q64+Q71+Q76+Q81+Q86+Q91+Q96+Q101+Q105+Q110+Q112+Q118+Q123+Q126+Q130+Q133+Q138+Q141+Q145+Q151+Q66</f>
        <v>380165</v>
      </c>
      <c r="R152" s="405">
        <f t="shared" si="441"/>
        <v>594902</v>
      </c>
      <c r="S152" s="405">
        <f t="shared" si="441"/>
        <v>0</v>
      </c>
      <c r="T152" s="405">
        <f t="shared" si="441"/>
        <v>0</v>
      </c>
      <c r="U152" s="405">
        <f t="shared" si="441"/>
        <v>52381251</v>
      </c>
      <c r="V152" s="405">
        <f t="shared" si="441"/>
        <v>448776</v>
      </c>
      <c r="W152" s="405">
        <f t="shared" si="441"/>
        <v>0</v>
      </c>
      <c r="X152" s="405">
        <f t="shared" si="441"/>
        <v>0</v>
      </c>
      <c r="Y152" s="405">
        <f t="shared" si="441"/>
        <v>448776</v>
      </c>
      <c r="Z152" s="405">
        <f t="shared" si="441"/>
        <v>52830027</v>
      </c>
      <c r="AA152" s="405">
        <f t="shared" si="441"/>
        <v>17856549</v>
      </c>
      <c r="AB152" s="405">
        <f t="shared" si="441"/>
        <v>523814</v>
      </c>
      <c r="AC152" s="405">
        <f t="shared" si="441"/>
        <v>0</v>
      </c>
      <c r="AD152" s="779">
        <f t="shared" si="441"/>
        <v>71210390</v>
      </c>
      <c r="AE152" s="599">
        <f>AE13+AE16+AE19+AE22+AE25+AE27+AE30+AE33+AE36+AE39+AE42+AE45+AE48+AE51+AE54+AE57+AE60+AE64+AE71+AE76+AE81+AE86+AE91+AE96+AE101+AE105+AE110+AE112+AE118+AE123+AE126+AE130+AE133+AE138+AE141+AE145+AE151+AE66</f>
        <v>-0.32000000000000006</v>
      </c>
      <c r="AF152" s="402">
        <f>AF13+AF16+AF19+AF22+AF25+AF27+AF30+AF33+AF36+AF39+AF42+AF45+AF48+AF51+AF54+AF57+AF60+AF64+AF71+AF76+AF81+AF86+AF91+AF96+AF101+AF105+AF110+AF112+AF118+AF123+AF126+AF130+AF133+AF138+AF141+AF145+AF151+AF66</f>
        <v>129.41000000000003</v>
      </c>
      <c r="AG152" s="402">
        <f t="shared" ref="AG152:AK152" si="442">AG13+AG16+AG19+AG22+AG25+AG27+AG30+AG33+AG36+AG39+AG42+AG45+AG48+AG51+AG54+AG57+AG60+AG64+AG71+AG76+AG81+AG86+AG91+AG96+AG101+AG105+AG110+AG112+AG118+AG123+AG126+AG130+AG133+AG138+AG141+AG145+AG151+AG66</f>
        <v>1.08</v>
      </c>
      <c r="AH152" s="402">
        <f t="shared" si="442"/>
        <v>0.52</v>
      </c>
      <c r="AI152" s="402">
        <f t="shared" si="442"/>
        <v>0</v>
      </c>
      <c r="AJ152" s="402">
        <f t="shared" si="442"/>
        <v>0</v>
      </c>
      <c r="AK152" s="403">
        <f t="shared" si="442"/>
        <v>130.69000000000003</v>
      </c>
      <c r="AL152" s="461">
        <f>AL13+AL16+AL19+AL22+AL25+AL27+AL30+AL33+AL36+AL39+AL42+AL45+AL48+AL51+AL54+AL57+AL60+AL64+AL71+AL76+AL81+AL86+AL91+AL96+AL101+AL105+AL110+AL112+AL118+AL123+AL126+AL130+AL133+AL138+AL141+AL145+AL151+AL66</f>
        <v>638504982</v>
      </c>
      <c r="AM152" s="461">
        <f t="shared" ref="AM152:AQ152" si="443">AM13+AM16+AM19+AM22+AM25+AM27+AM30+AM33+AM36+AM39+AM42+AM45+AM48+AM51+AM54+AM57+AM60+AM64+AM71+AM76+AM81+AM86+AM91+AM96+AM101+AM105+AM110+AM112+AM118+AM123+AM126+AM130+AM133+AM138+AM141+AM145+AM151+AM66</f>
        <v>473222931</v>
      </c>
      <c r="AN152" s="461">
        <f t="shared" si="443"/>
        <v>448776</v>
      </c>
      <c r="AO152" s="461">
        <f t="shared" si="443"/>
        <v>160101039</v>
      </c>
      <c r="AP152" s="461">
        <f t="shared" si="443"/>
        <v>4732236</v>
      </c>
      <c r="AQ152" s="461">
        <f t="shared" si="443"/>
        <v>0</v>
      </c>
      <c r="AR152" s="402">
        <f>AR13+AR16+AR19+AR22+AR25+AR27+AR30+AR33+AR36+AR39+AR42+AR45+AR48+AR51+AR54+AR57+AR60+AR64+AR71+AR76+AR81+AR86+AR91+AR96+AR101+AR105+AR110+AR112+AR118+AR123+AR126+AR130+AR133+AR138+AR141+AR145+AR151+AR66</f>
        <v>756.4799999999999</v>
      </c>
    </row>
    <row r="153" spans="1:44" ht="12.75" customHeight="1" x14ac:dyDescent="0.2">
      <c r="D153" s="8"/>
      <c r="E153" s="4"/>
      <c r="F153" s="8"/>
      <c r="G153" s="4"/>
      <c r="H153" s="4"/>
      <c r="I153" s="328">
        <f>SUM(J152:M152)</f>
        <v>567294592</v>
      </c>
      <c r="J153" s="328"/>
      <c r="K153" s="328"/>
      <c r="L153" s="328"/>
      <c r="M153" s="328"/>
      <c r="N153" s="742"/>
      <c r="O153" s="328">
        <f>V152</f>
        <v>448776</v>
      </c>
      <c r="P153" s="329"/>
      <c r="Q153" s="329"/>
      <c r="R153" s="329"/>
      <c r="S153" s="328"/>
      <c r="T153" s="329"/>
      <c r="U153" s="330">
        <f>SUM(O152:T152)</f>
        <v>52381251</v>
      </c>
      <c r="V153" s="330">
        <f>O152</f>
        <v>-448776</v>
      </c>
      <c r="W153" s="331"/>
      <c r="X153" s="331"/>
      <c r="Y153" s="330">
        <f>SUM(V152:X152)</f>
        <v>448776</v>
      </c>
      <c r="Z153" s="330">
        <f>U152+Y152</f>
        <v>52830027</v>
      </c>
      <c r="AA153" s="332"/>
      <c r="AB153" s="332"/>
      <c r="AC153" s="330"/>
      <c r="AD153" s="330">
        <f>SUM(Z152:AC152)</f>
        <v>71210390</v>
      </c>
      <c r="AE153" s="333"/>
      <c r="AF153" s="333"/>
      <c r="AG153" s="333"/>
      <c r="AH153" s="333"/>
      <c r="AI153" s="381"/>
      <c r="AJ153" s="333"/>
      <c r="AK153" s="381">
        <f>SUM(AE152:AJ152)</f>
        <v>130.69000000000005</v>
      </c>
      <c r="AL153" s="328">
        <f>SUM(AM152:AQ152)</f>
        <v>638504982</v>
      </c>
      <c r="AM153" s="328"/>
      <c r="AN153" s="58"/>
      <c r="AO153" s="330"/>
      <c r="AP153" s="330"/>
      <c r="AQ153" s="330"/>
      <c r="AR153" s="329"/>
    </row>
    <row r="154" spans="1:44" ht="13.5" customHeight="1" thickBot="1" x14ac:dyDescent="0.25">
      <c r="D154" s="8"/>
      <c r="E154" s="4"/>
      <c r="F154" s="8"/>
      <c r="G154" s="4"/>
      <c r="H154" s="4"/>
      <c r="I154" s="328">
        <f>SUM(J155:M155)</f>
        <v>567294592</v>
      </c>
      <c r="J154" s="328"/>
      <c r="K154" s="328"/>
      <c r="L154" s="328"/>
      <c r="M154" s="328"/>
      <c r="N154" s="742"/>
      <c r="O154" s="328">
        <f>V155</f>
        <v>448776</v>
      </c>
      <c r="P154" s="329"/>
      <c r="Q154" s="329"/>
      <c r="R154" s="329"/>
      <c r="S154" s="328"/>
      <c r="T154" s="329"/>
      <c r="U154" s="330">
        <f>SUM(O155:T155)</f>
        <v>52381251</v>
      </c>
      <c r="V154" s="330"/>
      <c r="W154" s="331"/>
      <c r="X154" s="331"/>
      <c r="Y154" s="330">
        <f>SUM(V155:X155)</f>
        <v>448776</v>
      </c>
      <c r="Z154" s="330">
        <f>U155+Y155</f>
        <v>52830027</v>
      </c>
      <c r="AA154" s="332"/>
      <c r="AB154" s="332"/>
      <c r="AC154" s="330"/>
      <c r="AD154" s="330">
        <f>SUM(Z155:AC155)</f>
        <v>71210390</v>
      </c>
      <c r="AE154" s="333"/>
      <c r="AF154" s="333"/>
      <c r="AG154" s="333"/>
      <c r="AH154" s="333"/>
      <c r="AI154" s="381"/>
      <c r="AJ154" s="333"/>
      <c r="AK154" s="381">
        <f>SUM(AE155:AJ155)</f>
        <v>130.69000000000003</v>
      </c>
      <c r="AL154" s="328">
        <f>AM155+AN155+AO155+AP155</f>
        <v>638504982</v>
      </c>
      <c r="AM154" s="328"/>
      <c r="AN154" s="58"/>
      <c r="AO154" s="48"/>
      <c r="AP154" s="48"/>
      <c r="AQ154" s="48"/>
      <c r="AR154" s="329"/>
    </row>
    <row r="155" spans="1:44" ht="12.75" customHeight="1" thickBot="1" x14ac:dyDescent="0.25">
      <c r="D155" s="8"/>
      <c r="E155" s="4"/>
      <c r="F155" s="8"/>
      <c r="G155" s="4"/>
      <c r="H155" s="338" t="s">
        <v>0</v>
      </c>
      <c r="I155" s="96">
        <f t="shared" ref="I155:AR155" si="444">SUM(I156:I165)</f>
        <v>567294592</v>
      </c>
      <c r="J155" s="31">
        <f t="shared" si="444"/>
        <v>420841680</v>
      </c>
      <c r="K155" s="31">
        <f t="shared" si="444"/>
        <v>142244490</v>
      </c>
      <c r="L155" s="31">
        <f t="shared" si="444"/>
        <v>4208422</v>
      </c>
      <c r="M155" s="31">
        <f t="shared" si="444"/>
        <v>0</v>
      </c>
      <c r="N155" s="647">
        <f t="shared" si="444"/>
        <v>625.79000000000008</v>
      </c>
      <c r="O155" s="101">
        <f t="shared" si="444"/>
        <v>-448776</v>
      </c>
      <c r="P155" s="31">
        <f t="shared" si="444"/>
        <v>51854960</v>
      </c>
      <c r="Q155" s="31">
        <f t="shared" si="444"/>
        <v>380165</v>
      </c>
      <c r="R155" s="31">
        <f t="shared" si="444"/>
        <v>594902</v>
      </c>
      <c r="S155" s="31">
        <f t="shared" si="444"/>
        <v>0</v>
      </c>
      <c r="T155" s="31">
        <f t="shared" si="444"/>
        <v>0</v>
      </c>
      <c r="U155" s="31">
        <f t="shared" si="444"/>
        <v>52381251</v>
      </c>
      <c r="V155" s="31">
        <f t="shared" si="444"/>
        <v>448776</v>
      </c>
      <c r="W155" s="31">
        <f t="shared" si="444"/>
        <v>0</v>
      </c>
      <c r="X155" s="31">
        <f t="shared" si="444"/>
        <v>0</v>
      </c>
      <c r="Y155" s="31">
        <f t="shared" si="444"/>
        <v>448776</v>
      </c>
      <c r="Z155" s="31">
        <f t="shared" si="444"/>
        <v>52830027</v>
      </c>
      <c r="AA155" s="31">
        <f t="shared" si="444"/>
        <v>17856549</v>
      </c>
      <c r="AB155" s="31">
        <f t="shared" si="444"/>
        <v>523814</v>
      </c>
      <c r="AC155" s="31">
        <f t="shared" si="444"/>
        <v>0</v>
      </c>
      <c r="AD155" s="642">
        <f t="shared" si="444"/>
        <v>71210390</v>
      </c>
      <c r="AE155" s="646">
        <f t="shared" si="444"/>
        <v>-0.31999999999999995</v>
      </c>
      <c r="AF155" s="32">
        <f t="shared" si="444"/>
        <v>129.41</v>
      </c>
      <c r="AG155" s="32">
        <f t="shared" si="444"/>
        <v>1.08</v>
      </c>
      <c r="AH155" s="32">
        <f t="shared" si="444"/>
        <v>0.52</v>
      </c>
      <c r="AI155" s="32">
        <f t="shared" si="444"/>
        <v>0</v>
      </c>
      <c r="AJ155" s="32">
        <f t="shared" si="444"/>
        <v>0</v>
      </c>
      <c r="AK155" s="647">
        <f t="shared" si="444"/>
        <v>130.68999999999997</v>
      </c>
      <c r="AL155" s="96">
        <f t="shared" si="444"/>
        <v>638504982</v>
      </c>
      <c r="AM155" s="31">
        <f t="shared" si="444"/>
        <v>473222931</v>
      </c>
      <c r="AN155" s="31">
        <f t="shared" si="444"/>
        <v>448776</v>
      </c>
      <c r="AO155" s="31">
        <f t="shared" si="444"/>
        <v>160101039</v>
      </c>
      <c r="AP155" s="31">
        <f t="shared" si="444"/>
        <v>4732236</v>
      </c>
      <c r="AQ155" s="31">
        <f t="shared" si="444"/>
        <v>0</v>
      </c>
      <c r="AR155" s="32">
        <f t="shared" si="444"/>
        <v>756.4799999999999</v>
      </c>
    </row>
    <row r="156" spans="1:44" ht="12.75" customHeight="1" x14ac:dyDescent="0.2">
      <c r="D156" s="8"/>
      <c r="E156" s="4"/>
      <c r="F156" s="8"/>
      <c r="G156" s="4"/>
      <c r="H156" s="339">
        <v>3111</v>
      </c>
      <c r="I156" s="370">
        <f t="shared" ref="I156:AR156" si="445">SUMIF($F$12:$F$428,"=3111",I$12:I$428)</f>
        <v>153147773</v>
      </c>
      <c r="J156" s="371">
        <f t="shared" si="445"/>
        <v>113611104</v>
      </c>
      <c r="K156" s="371">
        <f t="shared" si="445"/>
        <v>38400554</v>
      </c>
      <c r="L156" s="371">
        <f t="shared" si="445"/>
        <v>1136115</v>
      </c>
      <c r="M156" s="371">
        <f t="shared" si="445"/>
        <v>0</v>
      </c>
      <c r="N156" s="649">
        <f t="shared" si="445"/>
        <v>191.34</v>
      </c>
      <c r="O156" s="372">
        <f t="shared" si="445"/>
        <v>-46116</v>
      </c>
      <c r="P156" s="371">
        <f t="shared" si="445"/>
        <v>9684932</v>
      </c>
      <c r="Q156" s="371">
        <f t="shared" si="445"/>
        <v>0</v>
      </c>
      <c r="R156" s="371">
        <f t="shared" si="445"/>
        <v>0</v>
      </c>
      <c r="S156" s="371">
        <f t="shared" si="445"/>
        <v>0</v>
      </c>
      <c r="T156" s="371">
        <f t="shared" si="445"/>
        <v>0</v>
      </c>
      <c r="U156" s="371">
        <f t="shared" si="445"/>
        <v>9638816</v>
      </c>
      <c r="V156" s="371">
        <f t="shared" si="445"/>
        <v>46116</v>
      </c>
      <c r="W156" s="371">
        <f t="shared" si="445"/>
        <v>0</v>
      </c>
      <c r="X156" s="371">
        <f t="shared" si="445"/>
        <v>0</v>
      </c>
      <c r="Y156" s="371">
        <f t="shared" si="445"/>
        <v>46116</v>
      </c>
      <c r="Z156" s="371">
        <f t="shared" si="445"/>
        <v>9684932</v>
      </c>
      <c r="AA156" s="371">
        <f t="shared" si="445"/>
        <v>3273505</v>
      </c>
      <c r="AB156" s="371">
        <f t="shared" si="445"/>
        <v>96387</v>
      </c>
      <c r="AC156" s="371">
        <f t="shared" si="445"/>
        <v>0</v>
      </c>
      <c r="AD156" s="643">
        <f t="shared" si="445"/>
        <v>13054824</v>
      </c>
      <c r="AE156" s="648">
        <f t="shared" si="445"/>
        <v>0</v>
      </c>
      <c r="AF156" s="373">
        <f t="shared" si="445"/>
        <v>25.03</v>
      </c>
      <c r="AG156" s="373">
        <f t="shared" si="445"/>
        <v>0</v>
      </c>
      <c r="AH156" s="373">
        <f t="shared" si="445"/>
        <v>0</v>
      </c>
      <c r="AI156" s="373">
        <f t="shared" si="445"/>
        <v>0</v>
      </c>
      <c r="AJ156" s="373">
        <f t="shared" si="445"/>
        <v>0</v>
      </c>
      <c r="AK156" s="649">
        <f t="shared" si="445"/>
        <v>25.03</v>
      </c>
      <c r="AL156" s="370">
        <f t="shared" si="445"/>
        <v>166202597</v>
      </c>
      <c r="AM156" s="371">
        <f t="shared" si="445"/>
        <v>123249920</v>
      </c>
      <c r="AN156" s="371">
        <f t="shared" si="445"/>
        <v>46116</v>
      </c>
      <c r="AO156" s="371">
        <f t="shared" si="445"/>
        <v>41674059</v>
      </c>
      <c r="AP156" s="371">
        <f t="shared" si="445"/>
        <v>1232502</v>
      </c>
      <c r="AQ156" s="371">
        <f t="shared" si="445"/>
        <v>0</v>
      </c>
      <c r="AR156" s="373">
        <f t="shared" si="445"/>
        <v>216.36999999999998</v>
      </c>
    </row>
    <row r="157" spans="1:44" ht="12.75" customHeight="1" x14ac:dyDescent="0.2">
      <c r="D157" s="8"/>
      <c r="E157" s="4"/>
      <c r="F157" s="8"/>
      <c r="G157" s="4"/>
      <c r="H157" s="2">
        <v>3113</v>
      </c>
      <c r="I157" s="370">
        <f t="shared" ref="I157:AR157" si="446">SUMIF($F$12:$F$428,"=3113",I$12:I$428)</f>
        <v>329246593</v>
      </c>
      <c r="J157" s="14">
        <f t="shared" si="446"/>
        <v>244248212</v>
      </c>
      <c r="K157" s="14">
        <f t="shared" si="446"/>
        <v>82555898</v>
      </c>
      <c r="L157" s="14">
        <f t="shared" si="446"/>
        <v>2442483</v>
      </c>
      <c r="M157" s="14">
        <f t="shared" si="446"/>
        <v>0</v>
      </c>
      <c r="N157" s="651">
        <f t="shared" si="446"/>
        <v>329.01</v>
      </c>
      <c r="O157" s="120">
        <f t="shared" si="446"/>
        <v>-185340</v>
      </c>
      <c r="P157" s="14">
        <f t="shared" si="446"/>
        <v>40527514</v>
      </c>
      <c r="Q157" s="14">
        <f t="shared" si="446"/>
        <v>380165</v>
      </c>
      <c r="R157" s="14">
        <f t="shared" si="446"/>
        <v>594902</v>
      </c>
      <c r="S157" s="14">
        <f t="shared" si="446"/>
        <v>0</v>
      </c>
      <c r="T157" s="14">
        <f t="shared" si="446"/>
        <v>0</v>
      </c>
      <c r="U157" s="14">
        <f t="shared" si="446"/>
        <v>41317241</v>
      </c>
      <c r="V157" s="14">
        <f t="shared" si="446"/>
        <v>185340</v>
      </c>
      <c r="W157" s="14">
        <f t="shared" si="446"/>
        <v>0</v>
      </c>
      <c r="X157" s="14">
        <f t="shared" si="446"/>
        <v>0</v>
      </c>
      <c r="Y157" s="14">
        <f t="shared" si="446"/>
        <v>185340</v>
      </c>
      <c r="Z157" s="14">
        <f t="shared" si="446"/>
        <v>41502581</v>
      </c>
      <c r="AA157" s="14">
        <f t="shared" si="446"/>
        <v>14027874</v>
      </c>
      <c r="AB157" s="14">
        <f t="shared" si="446"/>
        <v>413175</v>
      </c>
      <c r="AC157" s="14">
        <f t="shared" si="446"/>
        <v>0</v>
      </c>
      <c r="AD157" s="644">
        <f t="shared" si="446"/>
        <v>55943630</v>
      </c>
      <c r="AE157" s="650">
        <f t="shared" si="446"/>
        <v>-0.22999999999999998</v>
      </c>
      <c r="AF157" s="11">
        <f t="shared" si="446"/>
        <v>100.24</v>
      </c>
      <c r="AG157" s="11">
        <f t="shared" si="446"/>
        <v>1.08</v>
      </c>
      <c r="AH157" s="11">
        <f t="shared" si="446"/>
        <v>0.52</v>
      </c>
      <c r="AI157" s="11">
        <f t="shared" si="446"/>
        <v>0</v>
      </c>
      <c r="AJ157" s="11">
        <f t="shared" si="446"/>
        <v>0</v>
      </c>
      <c r="AK157" s="651">
        <f t="shared" si="446"/>
        <v>101.60999999999999</v>
      </c>
      <c r="AL157" s="119">
        <f t="shared" si="446"/>
        <v>385190223</v>
      </c>
      <c r="AM157" s="14">
        <f t="shared" si="446"/>
        <v>285565453</v>
      </c>
      <c r="AN157" s="14">
        <f t="shared" si="446"/>
        <v>185340</v>
      </c>
      <c r="AO157" s="14">
        <f t="shared" si="446"/>
        <v>96583772</v>
      </c>
      <c r="AP157" s="14">
        <f t="shared" si="446"/>
        <v>2855658</v>
      </c>
      <c r="AQ157" s="14">
        <f t="shared" si="446"/>
        <v>0</v>
      </c>
      <c r="AR157" s="11">
        <f t="shared" si="446"/>
        <v>430.61999999999995</v>
      </c>
    </row>
    <row r="158" spans="1:44" ht="12.75" customHeight="1" x14ac:dyDescent="0.2">
      <c r="D158" s="8"/>
      <c r="E158" s="4"/>
      <c r="F158" s="8"/>
      <c r="G158" s="4"/>
      <c r="H158" s="2">
        <v>3114</v>
      </c>
      <c r="I158" s="370">
        <f t="shared" ref="I158:AR158" si="447">SUMIF($F$12:$F$428,"=3114",I$12:I$428)</f>
        <v>0</v>
      </c>
      <c r="J158" s="14">
        <f t="shared" si="447"/>
        <v>0</v>
      </c>
      <c r="K158" s="14">
        <f t="shared" si="447"/>
        <v>0</v>
      </c>
      <c r="L158" s="14">
        <f t="shared" si="447"/>
        <v>0</v>
      </c>
      <c r="M158" s="14">
        <f t="shared" si="447"/>
        <v>0</v>
      </c>
      <c r="N158" s="651">
        <f t="shared" si="447"/>
        <v>0</v>
      </c>
      <c r="O158" s="120">
        <f t="shared" si="447"/>
        <v>0</v>
      </c>
      <c r="P158" s="14">
        <f t="shared" si="447"/>
        <v>0</v>
      </c>
      <c r="Q158" s="14">
        <f t="shared" si="447"/>
        <v>0</v>
      </c>
      <c r="R158" s="14">
        <f t="shared" si="447"/>
        <v>0</v>
      </c>
      <c r="S158" s="14">
        <f t="shared" si="447"/>
        <v>0</v>
      </c>
      <c r="T158" s="14">
        <f t="shared" si="447"/>
        <v>0</v>
      </c>
      <c r="U158" s="14">
        <f t="shared" si="447"/>
        <v>0</v>
      </c>
      <c r="V158" s="14">
        <f t="shared" si="447"/>
        <v>0</v>
      </c>
      <c r="W158" s="14">
        <f t="shared" si="447"/>
        <v>0</v>
      </c>
      <c r="X158" s="14">
        <f t="shared" si="447"/>
        <v>0</v>
      </c>
      <c r="Y158" s="14">
        <f t="shared" si="447"/>
        <v>0</v>
      </c>
      <c r="Z158" s="14">
        <f t="shared" si="447"/>
        <v>0</v>
      </c>
      <c r="AA158" s="14">
        <f t="shared" si="447"/>
        <v>0</v>
      </c>
      <c r="AB158" s="14">
        <f t="shared" si="447"/>
        <v>0</v>
      </c>
      <c r="AC158" s="14">
        <f t="shared" si="447"/>
        <v>0</v>
      </c>
      <c r="AD158" s="644">
        <f t="shared" si="447"/>
        <v>0</v>
      </c>
      <c r="AE158" s="650">
        <f t="shared" si="447"/>
        <v>0</v>
      </c>
      <c r="AF158" s="11">
        <f t="shared" si="447"/>
        <v>0</v>
      </c>
      <c r="AG158" s="11">
        <f t="shared" si="447"/>
        <v>0</v>
      </c>
      <c r="AH158" s="11">
        <f t="shared" si="447"/>
        <v>0</v>
      </c>
      <c r="AI158" s="11">
        <f t="shared" si="447"/>
        <v>0</v>
      </c>
      <c r="AJ158" s="11">
        <f t="shared" si="447"/>
        <v>0</v>
      </c>
      <c r="AK158" s="651">
        <f t="shared" si="447"/>
        <v>0</v>
      </c>
      <c r="AL158" s="119">
        <f t="shared" si="447"/>
        <v>0</v>
      </c>
      <c r="AM158" s="14">
        <f t="shared" si="447"/>
        <v>0</v>
      </c>
      <c r="AN158" s="14">
        <f t="shared" si="447"/>
        <v>0</v>
      </c>
      <c r="AO158" s="14">
        <f t="shared" si="447"/>
        <v>0</v>
      </c>
      <c r="AP158" s="14">
        <f t="shared" si="447"/>
        <v>0</v>
      </c>
      <c r="AQ158" s="14">
        <f t="shared" si="447"/>
        <v>0</v>
      </c>
      <c r="AR158" s="11">
        <f t="shared" si="447"/>
        <v>0</v>
      </c>
    </row>
    <row r="159" spans="1:44" ht="12.75" customHeight="1" x14ac:dyDescent="0.2">
      <c r="D159" s="8"/>
      <c r="E159" s="4"/>
      <c r="F159" s="8"/>
      <c r="G159" s="4"/>
      <c r="H159" s="2">
        <v>3117</v>
      </c>
      <c r="I159" s="370">
        <f t="shared" ref="I159:AR159" si="448">SUMIF($F$12:$F$428,"=3117",I$12:I$428)</f>
        <v>8396878</v>
      </c>
      <c r="J159" s="14">
        <f t="shared" si="448"/>
        <v>6229139</v>
      </c>
      <c r="K159" s="14">
        <f t="shared" si="448"/>
        <v>2105448</v>
      </c>
      <c r="L159" s="14">
        <f t="shared" si="448"/>
        <v>62291</v>
      </c>
      <c r="M159" s="14">
        <f t="shared" si="448"/>
        <v>0</v>
      </c>
      <c r="N159" s="651">
        <f t="shared" si="448"/>
        <v>9.36</v>
      </c>
      <c r="O159" s="120">
        <f t="shared" si="448"/>
        <v>-6720</v>
      </c>
      <c r="P159" s="14">
        <f t="shared" si="448"/>
        <v>1642514</v>
      </c>
      <c r="Q159" s="14">
        <f t="shared" si="448"/>
        <v>0</v>
      </c>
      <c r="R159" s="14">
        <f t="shared" si="448"/>
        <v>0</v>
      </c>
      <c r="S159" s="14">
        <f t="shared" si="448"/>
        <v>0</v>
      </c>
      <c r="T159" s="14">
        <f t="shared" si="448"/>
        <v>0</v>
      </c>
      <c r="U159" s="14">
        <f t="shared" si="448"/>
        <v>1635794</v>
      </c>
      <c r="V159" s="14">
        <f t="shared" si="448"/>
        <v>6720</v>
      </c>
      <c r="W159" s="14">
        <f t="shared" si="448"/>
        <v>0</v>
      </c>
      <c r="X159" s="14">
        <f t="shared" si="448"/>
        <v>0</v>
      </c>
      <c r="Y159" s="14">
        <f t="shared" si="448"/>
        <v>6720</v>
      </c>
      <c r="Z159" s="14">
        <f t="shared" si="448"/>
        <v>1642514</v>
      </c>
      <c r="AA159" s="14">
        <f t="shared" si="448"/>
        <v>555170</v>
      </c>
      <c r="AB159" s="14">
        <f t="shared" si="448"/>
        <v>16358</v>
      </c>
      <c r="AC159" s="14">
        <f t="shared" si="448"/>
        <v>0</v>
      </c>
      <c r="AD159" s="644">
        <f t="shared" si="448"/>
        <v>2214042</v>
      </c>
      <c r="AE159" s="650">
        <f t="shared" si="448"/>
        <v>0</v>
      </c>
      <c r="AF159" s="11">
        <f t="shared" si="448"/>
        <v>4.1399999999999997</v>
      </c>
      <c r="AG159" s="11">
        <f t="shared" si="448"/>
        <v>0</v>
      </c>
      <c r="AH159" s="11">
        <f t="shared" si="448"/>
        <v>0</v>
      </c>
      <c r="AI159" s="11">
        <f t="shared" si="448"/>
        <v>0</v>
      </c>
      <c r="AJ159" s="11">
        <f t="shared" si="448"/>
        <v>0</v>
      </c>
      <c r="AK159" s="651">
        <f t="shared" si="448"/>
        <v>4.1399999999999997</v>
      </c>
      <c r="AL159" s="119">
        <f t="shared" si="448"/>
        <v>10610920</v>
      </c>
      <c r="AM159" s="14">
        <f t="shared" si="448"/>
        <v>7864933</v>
      </c>
      <c r="AN159" s="14">
        <f t="shared" si="448"/>
        <v>6720</v>
      </c>
      <c r="AO159" s="14">
        <f t="shared" si="448"/>
        <v>2660618</v>
      </c>
      <c r="AP159" s="14">
        <f t="shared" si="448"/>
        <v>78649</v>
      </c>
      <c r="AQ159" s="14">
        <f t="shared" si="448"/>
        <v>0</v>
      </c>
      <c r="AR159" s="11">
        <f t="shared" si="448"/>
        <v>13.5</v>
      </c>
    </row>
    <row r="160" spans="1:44" ht="12.75" customHeight="1" x14ac:dyDescent="0.2">
      <c r="D160" s="8"/>
      <c r="E160" s="4"/>
      <c r="F160" s="8"/>
      <c r="G160" s="4"/>
      <c r="H160" s="2">
        <v>3122</v>
      </c>
      <c r="I160" s="370">
        <f t="shared" ref="I160:AR160" si="449">SUMIF($F$12:$F$428,"=3122",I$12:I$428)</f>
        <v>0</v>
      </c>
      <c r="J160" s="14">
        <f t="shared" si="449"/>
        <v>0</v>
      </c>
      <c r="K160" s="14">
        <f t="shared" si="449"/>
        <v>0</v>
      </c>
      <c r="L160" s="14">
        <f t="shared" si="449"/>
        <v>0</v>
      </c>
      <c r="M160" s="14">
        <f t="shared" si="449"/>
        <v>0</v>
      </c>
      <c r="N160" s="651">
        <f t="shared" si="449"/>
        <v>0</v>
      </c>
      <c r="O160" s="120">
        <f t="shared" si="449"/>
        <v>0</v>
      </c>
      <c r="P160" s="14">
        <f t="shared" si="449"/>
        <v>0</v>
      </c>
      <c r="Q160" s="14">
        <f t="shared" si="449"/>
        <v>0</v>
      </c>
      <c r="R160" s="14">
        <f t="shared" si="449"/>
        <v>0</v>
      </c>
      <c r="S160" s="14">
        <f t="shared" si="449"/>
        <v>0</v>
      </c>
      <c r="T160" s="14">
        <f t="shared" si="449"/>
        <v>0</v>
      </c>
      <c r="U160" s="14">
        <f t="shared" si="449"/>
        <v>0</v>
      </c>
      <c r="V160" s="14">
        <f t="shared" si="449"/>
        <v>0</v>
      </c>
      <c r="W160" s="14">
        <f t="shared" si="449"/>
        <v>0</v>
      </c>
      <c r="X160" s="14">
        <f t="shared" si="449"/>
        <v>0</v>
      </c>
      <c r="Y160" s="14">
        <f t="shared" si="449"/>
        <v>0</v>
      </c>
      <c r="Z160" s="14">
        <f t="shared" si="449"/>
        <v>0</v>
      </c>
      <c r="AA160" s="14">
        <f t="shared" si="449"/>
        <v>0</v>
      </c>
      <c r="AB160" s="14">
        <f t="shared" si="449"/>
        <v>0</v>
      </c>
      <c r="AC160" s="14">
        <f t="shared" si="449"/>
        <v>0</v>
      </c>
      <c r="AD160" s="644">
        <f t="shared" si="449"/>
        <v>0</v>
      </c>
      <c r="AE160" s="650">
        <f t="shared" si="449"/>
        <v>0</v>
      </c>
      <c r="AF160" s="11">
        <f t="shared" si="449"/>
        <v>0</v>
      </c>
      <c r="AG160" s="11">
        <f t="shared" si="449"/>
        <v>0</v>
      </c>
      <c r="AH160" s="11">
        <f t="shared" si="449"/>
        <v>0</v>
      </c>
      <c r="AI160" s="11">
        <f t="shared" si="449"/>
        <v>0</v>
      </c>
      <c r="AJ160" s="11">
        <f t="shared" si="449"/>
        <v>0</v>
      </c>
      <c r="AK160" s="651">
        <f t="shared" si="449"/>
        <v>0</v>
      </c>
      <c r="AL160" s="119">
        <f t="shared" si="449"/>
        <v>0</v>
      </c>
      <c r="AM160" s="14">
        <f t="shared" si="449"/>
        <v>0</v>
      </c>
      <c r="AN160" s="14">
        <f t="shared" si="449"/>
        <v>0</v>
      </c>
      <c r="AO160" s="14">
        <f t="shared" si="449"/>
        <v>0</v>
      </c>
      <c r="AP160" s="14">
        <f t="shared" si="449"/>
        <v>0</v>
      </c>
      <c r="AQ160" s="14">
        <f t="shared" si="449"/>
        <v>0</v>
      </c>
      <c r="AR160" s="11">
        <f t="shared" si="449"/>
        <v>0</v>
      </c>
    </row>
    <row r="161" spans="4:44" ht="12.75" customHeight="1" x14ac:dyDescent="0.2">
      <c r="D161" s="8"/>
      <c r="E161" s="4"/>
      <c r="F161" s="8"/>
      <c r="G161" s="4"/>
      <c r="H161" s="2">
        <v>3124</v>
      </c>
      <c r="I161" s="370">
        <f t="shared" ref="I161:AR161" si="450">SUMIF($F$12:$F$428,"=3124",I$12:I$428)</f>
        <v>0</v>
      </c>
      <c r="J161" s="14">
        <f t="shared" si="450"/>
        <v>0</v>
      </c>
      <c r="K161" s="14">
        <f t="shared" si="450"/>
        <v>0</v>
      </c>
      <c r="L161" s="14">
        <f t="shared" si="450"/>
        <v>0</v>
      </c>
      <c r="M161" s="14">
        <f t="shared" si="450"/>
        <v>0</v>
      </c>
      <c r="N161" s="651">
        <f t="shared" si="450"/>
        <v>0</v>
      </c>
      <c r="O161" s="120">
        <f t="shared" si="450"/>
        <v>0</v>
      </c>
      <c r="P161" s="14">
        <f t="shared" si="450"/>
        <v>0</v>
      </c>
      <c r="Q161" s="14">
        <f t="shared" si="450"/>
        <v>0</v>
      </c>
      <c r="R161" s="14">
        <f t="shared" si="450"/>
        <v>0</v>
      </c>
      <c r="S161" s="14">
        <f t="shared" si="450"/>
        <v>0</v>
      </c>
      <c r="T161" s="14">
        <f t="shared" si="450"/>
        <v>0</v>
      </c>
      <c r="U161" s="14">
        <f t="shared" si="450"/>
        <v>0</v>
      </c>
      <c r="V161" s="14">
        <f t="shared" si="450"/>
        <v>0</v>
      </c>
      <c r="W161" s="14">
        <f t="shared" si="450"/>
        <v>0</v>
      </c>
      <c r="X161" s="14">
        <f t="shared" si="450"/>
        <v>0</v>
      </c>
      <c r="Y161" s="14">
        <f t="shared" si="450"/>
        <v>0</v>
      </c>
      <c r="Z161" s="14">
        <f t="shared" si="450"/>
        <v>0</v>
      </c>
      <c r="AA161" s="14">
        <f t="shared" si="450"/>
        <v>0</v>
      </c>
      <c r="AB161" s="14">
        <f t="shared" si="450"/>
        <v>0</v>
      </c>
      <c r="AC161" s="14">
        <f t="shared" si="450"/>
        <v>0</v>
      </c>
      <c r="AD161" s="644">
        <f t="shared" si="450"/>
        <v>0</v>
      </c>
      <c r="AE161" s="650">
        <f t="shared" si="450"/>
        <v>0</v>
      </c>
      <c r="AF161" s="11">
        <f t="shared" si="450"/>
        <v>0</v>
      </c>
      <c r="AG161" s="11">
        <f t="shared" si="450"/>
        <v>0</v>
      </c>
      <c r="AH161" s="11">
        <f t="shared" si="450"/>
        <v>0</v>
      </c>
      <c r="AI161" s="11">
        <f t="shared" si="450"/>
        <v>0</v>
      </c>
      <c r="AJ161" s="11">
        <f t="shared" si="450"/>
        <v>0</v>
      </c>
      <c r="AK161" s="651">
        <f t="shared" si="450"/>
        <v>0</v>
      </c>
      <c r="AL161" s="119">
        <f t="shared" si="450"/>
        <v>0</v>
      </c>
      <c r="AM161" s="14">
        <f t="shared" si="450"/>
        <v>0</v>
      </c>
      <c r="AN161" s="14">
        <f t="shared" si="450"/>
        <v>0</v>
      </c>
      <c r="AO161" s="14">
        <f t="shared" si="450"/>
        <v>0</v>
      </c>
      <c r="AP161" s="14">
        <f t="shared" si="450"/>
        <v>0</v>
      </c>
      <c r="AQ161" s="14">
        <f t="shared" si="450"/>
        <v>0</v>
      </c>
      <c r="AR161" s="11">
        <f t="shared" si="450"/>
        <v>0</v>
      </c>
    </row>
    <row r="162" spans="4:44" x14ac:dyDescent="0.2">
      <c r="D162" s="8"/>
      <c r="E162" s="4"/>
      <c r="F162" s="8"/>
      <c r="G162" s="4"/>
      <c r="H162" s="2">
        <v>3141</v>
      </c>
      <c r="I162" s="370">
        <f t="shared" ref="I162:AR162" si="451">SUMIF($F$12:$F$428,"=3141",I$12:I$428)</f>
        <v>0</v>
      </c>
      <c r="J162" s="14">
        <f t="shared" si="451"/>
        <v>0</v>
      </c>
      <c r="K162" s="14">
        <f t="shared" si="451"/>
        <v>0</v>
      </c>
      <c r="L162" s="14">
        <f t="shared" si="451"/>
        <v>0</v>
      </c>
      <c r="M162" s="14">
        <f t="shared" si="451"/>
        <v>0</v>
      </c>
      <c r="N162" s="651">
        <f t="shared" si="451"/>
        <v>0</v>
      </c>
      <c r="O162" s="120">
        <f t="shared" si="451"/>
        <v>0</v>
      </c>
      <c r="P162" s="14">
        <f t="shared" si="451"/>
        <v>0</v>
      </c>
      <c r="Q162" s="14">
        <f t="shared" si="451"/>
        <v>0</v>
      </c>
      <c r="R162" s="14">
        <f t="shared" si="451"/>
        <v>0</v>
      </c>
      <c r="S162" s="14">
        <f t="shared" si="451"/>
        <v>0</v>
      </c>
      <c r="T162" s="14">
        <f t="shared" si="451"/>
        <v>0</v>
      </c>
      <c r="U162" s="14">
        <f t="shared" si="451"/>
        <v>0</v>
      </c>
      <c r="V162" s="14">
        <f t="shared" si="451"/>
        <v>0</v>
      </c>
      <c r="W162" s="14">
        <f t="shared" si="451"/>
        <v>0</v>
      </c>
      <c r="X162" s="14">
        <f t="shared" si="451"/>
        <v>0</v>
      </c>
      <c r="Y162" s="14">
        <f t="shared" si="451"/>
        <v>0</v>
      </c>
      <c r="Z162" s="14">
        <f t="shared" si="451"/>
        <v>0</v>
      </c>
      <c r="AA162" s="14">
        <f t="shared" si="451"/>
        <v>0</v>
      </c>
      <c r="AB162" s="14">
        <f t="shared" si="451"/>
        <v>0</v>
      </c>
      <c r="AC162" s="14">
        <f t="shared" si="451"/>
        <v>0</v>
      </c>
      <c r="AD162" s="644">
        <f t="shared" si="451"/>
        <v>0</v>
      </c>
      <c r="AE162" s="650">
        <f t="shared" si="451"/>
        <v>0</v>
      </c>
      <c r="AF162" s="11">
        <f t="shared" si="451"/>
        <v>0</v>
      </c>
      <c r="AG162" s="11">
        <f t="shared" si="451"/>
        <v>0</v>
      </c>
      <c r="AH162" s="11">
        <f t="shared" si="451"/>
        <v>0</v>
      </c>
      <c r="AI162" s="11">
        <f t="shared" si="451"/>
        <v>0</v>
      </c>
      <c r="AJ162" s="11">
        <f t="shared" si="451"/>
        <v>0</v>
      </c>
      <c r="AK162" s="651">
        <f t="shared" si="451"/>
        <v>0</v>
      </c>
      <c r="AL162" s="119">
        <f t="shared" si="451"/>
        <v>0</v>
      </c>
      <c r="AM162" s="14">
        <f t="shared" si="451"/>
        <v>0</v>
      </c>
      <c r="AN162" s="14">
        <f t="shared" si="451"/>
        <v>0</v>
      </c>
      <c r="AO162" s="14">
        <f t="shared" si="451"/>
        <v>0</v>
      </c>
      <c r="AP162" s="14">
        <f t="shared" si="451"/>
        <v>0</v>
      </c>
      <c r="AQ162" s="14">
        <f t="shared" si="451"/>
        <v>0</v>
      </c>
      <c r="AR162" s="11">
        <f t="shared" si="451"/>
        <v>0</v>
      </c>
    </row>
    <row r="163" spans="4:44" ht="12.75" customHeight="1" x14ac:dyDescent="0.2">
      <c r="D163" s="8"/>
      <c r="E163" s="4"/>
      <c r="F163" s="8"/>
      <c r="G163" s="4"/>
      <c r="H163" s="2">
        <v>3143</v>
      </c>
      <c r="I163" s="370">
        <f t="shared" ref="I163:AR163" si="452">SUMIF($F$12:$F$428,"=3143",I$12:I$428)</f>
        <v>38596030</v>
      </c>
      <c r="J163" s="14">
        <f t="shared" si="452"/>
        <v>28632070</v>
      </c>
      <c r="K163" s="14">
        <f t="shared" si="452"/>
        <v>9677639</v>
      </c>
      <c r="L163" s="14">
        <f t="shared" si="452"/>
        <v>286321</v>
      </c>
      <c r="M163" s="14">
        <f t="shared" si="452"/>
        <v>0</v>
      </c>
      <c r="N163" s="651">
        <f t="shared" si="452"/>
        <v>53.249999999999993</v>
      </c>
      <c r="O163" s="120">
        <f t="shared" si="452"/>
        <v>-90600</v>
      </c>
      <c r="P163" s="14">
        <f t="shared" si="452"/>
        <v>0</v>
      </c>
      <c r="Q163" s="14">
        <f t="shared" si="452"/>
        <v>0</v>
      </c>
      <c r="R163" s="14">
        <f t="shared" si="452"/>
        <v>0</v>
      </c>
      <c r="S163" s="14">
        <f t="shared" si="452"/>
        <v>0</v>
      </c>
      <c r="T163" s="14">
        <f t="shared" si="452"/>
        <v>0</v>
      </c>
      <c r="U163" s="14">
        <f t="shared" si="452"/>
        <v>-90600</v>
      </c>
      <c r="V163" s="14">
        <f t="shared" si="452"/>
        <v>90600</v>
      </c>
      <c r="W163" s="14">
        <f t="shared" si="452"/>
        <v>0</v>
      </c>
      <c r="X163" s="14">
        <f t="shared" si="452"/>
        <v>0</v>
      </c>
      <c r="Y163" s="14">
        <f t="shared" si="452"/>
        <v>90600</v>
      </c>
      <c r="Z163" s="14">
        <f t="shared" si="452"/>
        <v>0</v>
      </c>
      <c r="AA163" s="14">
        <f t="shared" si="452"/>
        <v>0</v>
      </c>
      <c r="AB163" s="14">
        <f t="shared" si="452"/>
        <v>-906</v>
      </c>
      <c r="AC163" s="14">
        <f t="shared" si="452"/>
        <v>0</v>
      </c>
      <c r="AD163" s="644">
        <f t="shared" si="452"/>
        <v>-906</v>
      </c>
      <c r="AE163" s="650">
        <f t="shared" si="452"/>
        <v>0</v>
      </c>
      <c r="AF163" s="11">
        <f t="shared" si="452"/>
        <v>0</v>
      </c>
      <c r="AG163" s="11">
        <f t="shared" si="452"/>
        <v>0</v>
      </c>
      <c r="AH163" s="11">
        <f t="shared" si="452"/>
        <v>0</v>
      </c>
      <c r="AI163" s="11">
        <f t="shared" si="452"/>
        <v>0</v>
      </c>
      <c r="AJ163" s="11">
        <f t="shared" si="452"/>
        <v>0</v>
      </c>
      <c r="AK163" s="651">
        <f t="shared" si="452"/>
        <v>0</v>
      </c>
      <c r="AL163" s="119">
        <f t="shared" si="452"/>
        <v>38595124</v>
      </c>
      <c r="AM163" s="14">
        <f t="shared" si="452"/>
        <v>28541470</v>
      </c>
      <c r="AN163" s="14">
        <f t="shared" si="452"/>
        <v>90600</v>
      </c>
      <c r="AO163" s="14">
        <f t="shared" si="452"/>
        <v>9677639</v>
      </c>
      <c r="AP163" s="14">
        <f t="shared" si="452"/>
        <v>285415</v>
      </c>
      <c r="AQ163" s="14">
        <f t="shared" si="452"/>
        <v>0</v>
      </c>
      <c r="AR163" s="11">
        <f t="shared" si="452"/>
        <v>53.249999999999993</v>
      </c>
    </row>
    <row r="164" spans="4:44" ht="12.75" customHeight="1" x14ac:dyDescent="0.2">
      <c r="D164" s="8"/>
      <c r="E164" s="4"/>
      <c r="F164" s="8"/>
      <c r="G164" s="4"/>
      <c r="H164" s="2">
        <v>3231</v>
      </c>
      <c r="I164" s="370">
        <f t="shared" ref="I164:AR164" si="453">SUMIF($F$12:$F$428,"=3231",I$12:I$428)</f>
        <v>33752260</v>
      </c>
      <c r="J164" s="14">
        <f t="shared" si="453"/>
        <v>25038768</v>
      </c>
      <c r="K164" s="14">
        <f t="shared" si="453"/>
        <v>8463104</v>
      </c>
      <c r="L164" s="14">
        <f t="shared" si="453"/>
        <v>250388</v>
      </c>
      <c r="M164" s="14">
        <f t="shared" si="453"/>
        <v>0</v>
      </c>
      <c r="N164" s="651">
        <f t="shared" si="453"/>
        <v>37.61</v>
      </c>
      <c r="O164" s="120">
        <f t="shared" si="453"/>
        <v>-120000</v>
      </c>
      <c r="P164" s="14">
        <f t="shared" si="453"/>
        <v>0</v>
      </c>
      <c r="Q164" s="14">
        <f t="shared" si="453"/>
        <v>0</v>
      </c>
      <c r="R164" s="14">
        <f t="shared" si="453"/>
        <v>0</v>
      </c>
      <c r="S164" s="14">
        <f t="shared" si="453"/>
        <v>0</v>
      </c>
      <c r="T164" s="14">
        <f t="shared" si="453"/>
        <v>0</v>
      </c>
      <c r="U164" s="14">
        <f t="shared" si="453"/>
        <v>-120000</v>
      </c>
      <c r="V164" s="14">
        <f t="shared" si="453"/>
        <v>120000</v>
      </c>
      <c r="W164" s="14">
        <f t="shared" si="453"/>
        <v>0</v>
      </c>
      <c r="X164" s="14">
        <f t="shared" si="453"/>
        <v>0</v>
      </c>
      <c r="Y164" s="14">
        <f t="shared" si="453"/>
        <v>120000</v>
      </c>
      <c r="Z164" s="14">
        <f t="shared" si="453"/>
        <v>0</v>
      </c>
      <c r="AA164" s="14">
        <f t="shared" si="453"/>
        <v>0</v>
      </c>
      <c r="AB164" s="14">
        <f t="shared" si="453"/>
        <v>-1200</v>
      </c>
      <c r="AC164" s="14">
        <f t="shared" si="453"/>
        <v>0</v>
      </c>
      <c r="AD164" s="644">
        <f t="shared" si="453"/>
        <v>-1200</v>
      </c>
      <c r="AE164" s="650">
        <f t="shared" si="453"/>
        <v>-0.09</v>
      </c>
      <c r="AF164" s="11">
        <f t="shared" si="453"/>
        <v>0</v>
      </c>
      <c r="AG164" s="11">
        <f t="shared" si="453"/>
        <v>0</v>
      </c>
      <c r="AH164" s="11">
        <f t="shared" si="453"/>
        <v>0</v>
      </c>
      <c r="AI164" s="11">
        <f t="shared" si="453"/>
        <v>0</v>
      </c>
      <c r="AJ164" s="11">
        <f t="shared" si="453"/>
        <v>0</v>
      </c>
      <c r="AK164" s="651">
        <f t="shared" si="453"/>
        <v>-0.09</v>
      </c>
      <c r="AL164" s="119">
        <f t="shared" si="453"/>
        <v>33751060</v>
      </c>
      <c r="AM164" s="14">
        <f t="shared" si="453"/>
        <v>24918768</v>
      </c>
      <c r="AN164" s="14">
        <f t="shared" si="453"/>
        <v>120000</v>
      </c>
      <c r="AO164" s="14">
        <f t="shared" si="453"/>
        <v>8463104</v>
      </c>
      <c r="AP164" s="14">
        <f t="shared" si="453"/>
        <v>249188</v>
      </c>
      <c r="AQ164" s="14">
        <f t="shared" si="453"/>
        <v>0</v>
      </c>
      <c r="AR164" s="11">
        <f t="shared" si="453"/>
        <v>37.519999999999996</v>
      </c>
    </row>
    <row r="165" spans="4:44" ht="13.5" thickBot="1" x14ac:dyDescent="0.25">
      <c r="D165" s="8"/>
      <c r="E165" s="4"/>
      <c r="F165" s="8"/>
      <c r="G165" s="4"/>
      <c r="H165" s="103">
        <v>3233</v>
      </c>
      <c r="I165" s="867">
        <f t="shared" ref="I165:AR165" si="454">SUMIF($F$12:$F$428,"=3233",I$12:I$428)</f>
        <v>4155058</v>
      </c>
      <c r="J165" s="123">
        <f t="shared" si="454"/>
        <v>3082387</v>
      </c>
      <c r="K165" s="123">
        <f t="shared" si="454"/>
        <v>1041847</v>
      </c>
      <c r="L165" s="123">
        <f t="shared" si="454"/>
        <v>30824</v>
      </c>
      <c r="M165" s="123">
        <f t="shared" si="454"/>
        <v>0</v>
      </c>
      <c r="N165" s="653">
        <f t="shared" si="454"/>
        <v>5.22</v>
      </c>
      <c r="O165" s="125">
        <f t="shared" si="454"/>
        <v>0</v>
      </c>
      <c r="P165" s="123">
        <f t="shared" si="454"/>
        <v>0</v>
      </c>
      <c r="Q165" s="123">
        <f t="shared" si="454"/>
        <v>0</v>
      </c>
      <c r="R165" s="123">
        <f t="shared" si="454"/>
        <v>0</v>
      </c>
      <c r="S165" s="123">
        <f t="shared" si="454"/>
        <v>0</v>
      </c>
      <c r="T165" s="123">
        <f t="shared" si="454"/>
        <v>0</v>
      </c>
      <c r="U165" s="123">
        <f t="shared" si="454"/>
        <v>0</v>
      </c>
      <c r="V165" s="123">
        <f t="shared" si="454"/>
        <v>0</v>
      </c>
      <c r="W165" s="123">
        <f t="shared" si="454"/>
        <v>0</v>
      </c>
      <c r="X165" s="123">
        <f t="shared" si="454"/>
        <v>0</v>
      </c>
      <c r="Y165" s="123">
        <f t="shared" si="454"/>
        <v>0</v>
      </c>
      <c r="Z165" s="123">
        <f t="shared" si="454"/>
        <v>0</v>
      </c>
      <c r="AA165" s="123">
        <f t="shared" si="454"/>
        <v>0</v>
      </c>
      <c r="AB165" s="123">
        <f t="shared" si="454"/>
        <v>0</v>
      </c>
      <c r="AC165" s="123">
        <f t="shared" si="454"/>
        <v>0</v>
      </c>
      <c r="AD165" s="645">
        <f t="shared" si="454"/>
        <v>0</v>
      </c>
      <c r="AE165" s="652">
        <f t="shared" si="454"/>
        <v>0</v>
      </c>
      <c r="AF165" s="124">
        <f t="shared" si="454"/>
        <v>0</v>
      </c>
      <c r="AG165" s="124">
        <f t="shared" si="454"/>
        <v>0</v>
      </c>
      <c r="AH165" s="124">
        <f t="shared" si="454"/>
        <v>0</v>
      </c>
      <c r="AI165" s="124">
        <f t="shared" si="454"/>
        <v>0</v>
      </c>
      <c r="AJ165" s="124">
        <f t="shared" si="454"/>
        <v>0</v>
      </c>
      <c r="AK165" s="653">
        <f t="shared" si="454"/>
        <v>0</v>
      </c>
      <c r="AL165" s="122">
        <f t="shared" si="454"/>
        <v>4155058</v>
      </c>
      <c r="AM165" s="123">
        <f t="shared" si="454"/>
        <v>3082387</v>
      </c>
      <c r="AN165" s="123">
        <f t="shared" si="454"/>
        <v>0</v>
      </c>
      <c r="AO165" s="123">
        <f t="shared" si="454"/>
        <v>1041847</v>
      </c>
      <c r="AP165" s="123">
        <f t="shared" si="454"/>
        <v>30824</v>
      </c>
      <c r="AQ165" s="123">
        <f t="shared" si="454"/>
        <v>0</v>
      </c>
      <c r="AR165" s="124">
        <f t="shared" si="454"/>
        <v>5.22</v>
      </c>
    </row>
    <row r="166" spans="4:44" ht="12.75" customHeight="1" x14ac:dyDescent="0.2">
      <c r="D166" s="4"/>
      <c r="E166" s="4"/>
      <c r="F166" s="4"/>
      <c r="G166" s="4"/>
      <c r="H166" s="4"/>
    </row>
    <row r="167" spans="4:44" x14ac:dyDescent="0.2">
      <c r="V167" s="13"/>
      <c r="W167" s="13"/>
      <c r="X167" s="13"/>
      <c r="Y167" s="13"/>
    </row>
  </sheetData>
  <mergeCells count="45">
    <mergeCell ref="AO9:AO10"/>
    <mergeCell ref="AE7:AK7"/>
    <mergeCell ref="V7:Y8"/>
    <mergeCell ref="S9:S10"/>
    <mergeCell ref="AP9:AP10"/>
    <mergeCell ref="AL8:AL10"/>
    <mergeCell ref="AM9:AM10"/>
    <mergeCell ref="AD7:AD10"/>
    <mergeCell ref="AA7:AA10"/>
    <mergeCell ref="AB7:AB10"/>
    <mergeCell ref="AI8:AI10"/>
    <mergeCell ref="AJ8:AJ10"/>
    <mergeCell ref="AK8:AK10"/>
    <mergeCell ref="AM8:AP8"/>
    <mergeCell ref="V9:V10"/>
    <mergeCell ref="X9:X10"/>
    <mergeCell ref="N8:N10"/>
    <mergeCell ref="J9:J10"/>
    <mergeCell ref="K9:K10"/>
    <mergeCell ref="P9:P10"/>
    <mergeCell ref="Q9:Q10"/>
    <mergeCell ref="O9:O10"/>
    <mergeCell ref="J8:L8"/>
    <mergeCell ref="A3:E3"/>
    <mergeCell ref="I8:I10"/>
    <mergeCell ref="I6:N7"/>
    <mergeCell ref="AR8:AR10"/>
    <mergeCell ref="Y9:Y10"/>
    <mergeCell ref="U9:U10"/>
    <mergeCell ref="W9:W10"/>
    <mergeCell ref="AN9:AN10"/>
    <mergeCell ref="AQ9:AQ10"/>
    <mergeCell ref="O6:AK6"/>
    <mergeCell ref="AL6:AR7"/>
    <mergeCell ref="O7:U8"/>
    <mergeCell ref="L9:L10"/>
    <mergeCell ref="M9:M10"/>
    <mergeCell ref="R9:R10"/>
    <mergeCell ref="T9:T10"/>
    <mergeCell ref="AH8:AH10"/>
    <mergeCell ref="Z7:Z10"/>
    <mergeCell ref="AC7:AC10"/>
    <mergeCell ref="AE8:AE10"/>
    <mergeCell ref="AF8:AF10"/>
    <mergeCell ref="AG8:AG10"/>
  </mergeCells>
  <pageMargins left="0.7" right="0.7" top="0.78740157499999996" bottom="0.78740157499999996" header="0.3" footer="0.3"/>
  <pageSetup paperSize="8" scale="1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AR94"/>
  <sheetViews>
    <sheetView zoomScaleNormal="100" workbookViewId="0">
      <pane xSplit="8" ySplit="11" topLeftCell="I68" activePane="bottomRight" state="frozen"/>
      <selection activeCell="I6" sqref="I6:AR10"/>
      <selection pane="topRight" activeCell="I6" sqref="I6:AR10"/>
      <selection pane="bottomLeft" activeCell="I6" sqref="I6:AR10"/>
      <selection pane="bottomRight" activeCell="I6" sqref="I6:AR10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85546875" customWidth="1"/>
    <col min="6" max="6" width="4.42578125" customWidth="1"/>
    <col min="7" max="7" width="10.28515625" style="38" customWidth="1"/>
    <col min="8" max="8" width="8" customWidth="1"/>
    <col min="9" max="9" width="12.85546875" style="7" customWidth="1"/>
    <col min="10" max="10" width="12.42578125" style="7" customWidth="1"/>
    <col min="11" max="11" width="12" style="7" customWidth="1"/>
    <col min="12" max="13" width="11.7109375" style="7" customWidth="1"/>
    <col min="14" max="14" width="11.42578125" style="6" customWidth="1"/>
    <col min="15" max="17" width="10.28515625" style="7" customWidth="1"/>
    <col min="18" max="18" width="10.5703125" style="7" customWidth="1"/>
    <col min="19" max="19" width="12.140625" style="7" customWidth="1"/>
    <col min="20" max="25" width="10.28515625" style="7" customWidth="1"/>
    <col min="26" max="26" width="10.140625" style="6" customWidth="1"/>
    <col min="27" max="27" width="9.28515625" style="6" customWidth="1"/>
    <col min="28" max="29" width="9.140625" style="7" customWidth="1"/>
    <col min="30" max="30" width="9.7109375" style="7" customWidth="1"/>
    <col min="31" max="32" width="9.140625" style="6" customWidth="1"/>
    <col min="33" max="33" width="10.140625" style="6" customWidth="1"/>
    <col min="34" max="34" width="9.28515625" style="6" customWidth="1"/>
    <col min="35" max="35" width="10.5703125" style="6" customWidth="1"/>
    <col min="36" max="36" width="10.140625" style="6" customWidth="1"/>
    <col min="37" max="37" width="9.28515625" style="6" customWidth="1"/>
    <col min="38" max="38" width="13" style="6" customWidth="1"/>
    <col min="39" max="41" width="10.85546875" style="6" customWidth="1"/>
    <col min="42" max="42" width="12.42578125" style="6" customWidth="1"/>
    <col min="43" max="43" width="10.85546875" style="6" customWidth="1"/>
    <col min="44" max="44" width="11.140625" style="6" customWidth="1"/>
    <col min="147" max="147" width="7" customWidth="1"/>
    <col min="148" max="148" width="30.140625" customWidth="1"/>
    <col min="149" max="149" width="6.28515625" customWidth="1"/>
    <col min="150" max="150" width="31.42578125" customWidth="1"/>
    <col min="151" max="151" width="10.5703125" customWidth="1"/>
    <col min="152" max="152" width="10.42578125" customWidth="1"/>
    <col min="153" max="153" width="9.5703125" customWidth="1"/>
    <col min="154" max="154" width="8.42578125" customWidth="1"/>
    <col min="155" max="155" width="9" customWidth="1"/>
    <col min="156" max="156" width="10.42578125" customWidth="1"/>
    <col min="159" max="159" width="10.28515625" customWidth="1"/>
    <col min="403" max="403" width="7" customWidth="1"/>
    <col min="404" max="404" width="30.140625" customWidth="1"/>
    <col min="405" max="405" width="6.28515625" customWidth="1"/>
    <col min="406" max="406" width="31.42578125" customWidth="1"/>
    <col min="407" max="407" width="10.5703125" customWidth="1"/>
    <col min="408" max="408" width="10.42578125" customWidth="1"/>
    <col min="409" max="409" width="9.5703125" customWidth="1"/>
    <col min="410" max="410" width="8.42578125" customWidth="1"/>
    <col min="411" max="411" width="9" customWidth="1"/>
    <col min="412" max="412" width="10.42578125" customWidth="1"/>
    <col min="415" max="415" width="10.28515625" customWidth="1"/>
    <col min="659" max="659" width="7" customWidth="1"/>
    <col min="660" max="660" width="30.140625" customWidth="1"/>
    <col min="661" max="661" width="6.28515625" customWidth="1"/>
    <col min="662" max="662" width="31.42578125" customWidth="1"/>
    <col min="663" max="663" width="10.5703125" customWidth="1"/>
    <col min="664" max="664" width="10.42578125" customWidth="1"/>
    <col min="665" max="665" width="9.5703125" customWidth="1"/>
    <col min="666" max="666" width="8.42578125" customWidth="1"/>
    <col min="667" max="667" width="9" customWidth="1"/>
    <col min="668" max="668" width="10.42578125" customWidth="1"/>
    <col min="671" max="671" width="10.28515625" customWidth="1"/>
    <col min="915" max="915" width="7" customWidth="1"/>
    <col min="916" max="916" width="30.140625" customWidth="1"/>
    <col min="917" max="917" width="6.28515625" customWidth="1"/>
    <col min="918" max="918" width="31.42578125" customWidth="1"/>
    <col min="919" max="919" width="10.5703125" customWidth="1"/>
    <col min="920" max="920" width="10.42578125" customWidth="1"/>
    <col min="921" max="921" width="9.5703125" customWidth="1"/>
    <col min="922" max="922" width="8.42578125" customWidth="1"/>
    <col min="923" max="923" width="9" customWidth="1"/>
    <col min="924" max="924" width="10.42578125" customWidth="1"/>
    <col min="927" max="927" width="10.28515625" customWidth="1"/>
    <col min="1171" max="1171" width="7" customWidth="1"/>
    <col min="1172" max="1172" width="30.140625" customWidth="1"/>
    <col min="1173" max="1173" width="6.28515625" customWidth="1"/>
    <col min="1174" max="1174" width="31.42578125" customWidth="1"/>
    <col min="1175" max="1175" width="10.5703125" customWidth="1"/>
    <col min="1176" max="1176" width="10.42578125" customWidth="1"/>
    <col min="1177" max="1177" width="9.5703125" customWidth="1"/>
    <col min="1178" max="1178" width="8.42578125" customWidth="1"/>
    <col min="1179" max="1179" width="9" customWidth="1"/>
    <col min="1180" max="1180" width="10.42578125" customWidth="1"/>
    <col min="1183" max="1183" width="10.28515625" customWidth="1"/>
    <col min="1427" max="1427" width="7" customWidth="1"/>
    <col min="1428" max="1428" width="30.140625" customWidth="1"/>
    <col min="1429" max="1429" width="6.28515625" customWidth="1"/>
    <col min="1430" max="1430" width="31.42578125" customWidth="1"/>
    <col min="1431" max="1431" width="10.5703125" customWidth="1"/>
    <col min="1432" max="1432" width="10.42578125" customWidth="1"/>
    <col min="1433" max="1433" width="9.5703125" customWidth="1"/>
    <col min="1434" max="1434" width="8.42578125" customWidth="1"/>
    <col min="1435" max="1435" width="9" customWidth="1"/>
    <col min="1436" max="1436" width="10.42578125" customWidth="1"/>
    <col min="1439" max="1439" width="10.28515625" customWidth="1"/>
    <col min="1683" max="1683" width="7" customWidth="1"/>
    <col min="1684" max="1684" width="30.140625" customWidth="1"/>
    <col min="1685" max="1685" width="6.28515625" customWidth="1"/>
    <col min="1686" max="1686" width="31.42578125" customWidth="1"/>
    <col min="1687" max="1687" width="10.5703125" customWidth="1"/>
    <col min="1688" max="1688" width="10.42578125" customWidth="1"/>
    <col min="1689" max="1689" width="9.5703125" customWidth="1"/>
    <col min="1690" max="1690" width="8.42578125" customWidth="1"/>
    <col min="1691" max="1691" width="9" customWidth="1"/>
    <col min="1692" max="1692" width="10.42578125" customWidth="1"/>
    <col min="1695" max="1695" width="10.28515625" customWidth="1"/>
    <col min="1939" max="1939" width="7" customWidth="1"/>
    <col min="1940" max="1940" width="30.140625" customWidth="1"/>
    <col min="1941" max="1941" width="6.28515625" customWidth="1"/>
    <col min="1942" max="1942" width="31.42578125" customWidth="1"/>
    <col min="1943" max="1943" width="10.5703125" customWidth="1"/>
    <col min="1944" max="1944" width="10.42578125" customWidth="1"/>
    <col min="1945" max="1945" width="9.5703125" customWidth="1"/>
    <col min="1946" max="1946" width="8.42578125" customWidth="1"/>
    <col min="1947" max="1947" width="9" customWidth="1"/>
    <col min="1948" max="1948" width="10.42578125" customWidth="1"/>
    <col min="1951" max="1951" width="10.28515625" customWidth="1"/>
    <col min="2195" max="2195" width="7" customWidth="1"/>
    <col min="2196" max="2196" width="30.140625" customWidth="1"/>
    <col min="2197" max="2197" width="6.28515625" customWidth="1"/>
    <col min="2198" max="2198" width="31.42578125" customWidth="1"/>
    <col min="2199" max="2199" width="10.5703125" customWidth="1"/>
    <col min="2200" max="2200" width="10.42578125" customWidth="1"/>
    <col min="2201" max="2201" width="9.5703125" customWidth="1"/>
    <col min="2202" max="2202" width="8.42578125" customWidth="1"/>
    <col min="2203" max="2203" width="9" customWidth="1"/>
    <col min="2204" max="2204" width="10.42578125" customWidth="1"/>
    <col min="2207" max="2207" width="10.28515625" customWidth="1"/>
    <col min="2451" max="2451" width="7" customWidth="1"/>
    <col min="2452" max="2452" width="30.140625" customWidth="1"/>
    <col min="2453" max="2453" width="6.28515625" customWidth="1"/>
    <col min="2454" max="2454" width="31.42578125" customWidth="1"/>
    <col min="2455" max="2455" width="10.5703125" customWidth="1"/>
    <col min="2456" max="2456" width="10.42578125" customWidth="1"/>
    <col min="2457" max="2457" width="9.5703125" customWidth="1"/>
    <col min="2458" max="2458" width="8.42578125" customWidth="1"/>
    <col min="2459" max="2459" width="9" customWidth="1"/>
    <col min="2460" max="2460" width="10.42578125" customWidth="1"/>
    <col min="2463" max="2463" width="10.28515625" customWidth="1"/>
    <col min="2707" max="2707" width="7" customWidth="1"/>
    <col min="2708" max="2708" width="30.140625" customWidth="1"/>
    <col min="2709" max="2709" width="6.28515625" customWidth="1"/>
    <col min="2710" max="2710" width="31.42578125" customWidth="1"/>
    <col min="2711" max="2711" width="10.5703125" customWidth="1"/>
    <col min="2712" max="2712" width="10.42578125" customWidth="1"/>
    <col min="2713" max="2713" width="9.5703125" customWidth="1"/>
    <col min="2714" max="2714" width="8.42578125" customWidth="1"/>
    <col min="2715" max="2715" width="9" customWidth="1"/>
    <col min="2716" max="2716" width="10.42578125" customWidth="1"/>
    <col min="2719" max="2719" width="10.28515625" customWidth="1"/>
    <col min="2963" max="2963" width="7" customWidth="1"/>
    <col min="2964" max="2964" width="30.140625" customWidth="1"/>
    <col min="2965" max="2965" width="6.28515625" customWidth="1"/>
    <col min="2966" max="2966" width="31.42578125" customWidth="1"/>
    <col min="2967" max="2967" width="10.5703125" customWidth="1"/>
    <col min="2968" max="2968" width="10.42578125" customWidth="1"/>
    <col min="2969" max="2969" width="9.5703125" customWidth="1"/>
    <col min="2970" max="2970" width="8.42578125" customWidth="1"/>
    <col min="2971" max="2971" width="9" customWidth="1"/>
    <col min="2972" max="2972" width="10.42578125" customWidth="1"/>
    <col min="2975" max="2975" width="10.28515625" customWidth="1"/>
    <col min="3219" max="3219" width="7" customWidth="1"/>
    <col min="3220" max="3220" width="30.140625" customWidth="1"/>
    <col min="3221" max="3221" width="6.28515625" customWidth="1"/>
    <col min="3222" max="3222" width="31.42578125" customWidth="1"/>
    <col min="3223" max="3223" width="10.5703125" customWidth="1"/>
    <col min="3224" max="3224" width="10.42578125" customWidth="1"/>
    <col min="3225" max="3225" width="9.5703125" customWidth="1"/>
    <col min="3226" max="3226" width="8.42578125" customWidth="1"/>
    <col min="3227" max="3227" width="9" customWidth="1"/>
    <col min="3228" max="3228" width="10.42578125" customWidth="1"/>
    <col min="3231" max="3231" width="10.28515625" customWidth="1"/>
    <col min="3475" max="3475" width="7" customWidth="1"/>
    <col min="3476" max="3476" width="30.140625" customWidth="1"/>
    <col min="3477" max="3477" width="6.28515625" customWidth="1"/>
    <col min="3478" max="3478" width="31.42578125" customWidth="1"/>
    <col min="3479" max="3479" width="10.5703125" customWidth="1"/>
    <col min="3480" max="3480" width="10.42578125" customWidth="1"/>
    <col min="3481" max="3481" width="9.5703125" customWidth="1"/>
    <col min="3482" max="3482" width="8.42578125" customWidth="1"/>
    <col min="3483" max="3483" width="9" customWidth="1"/>
    <col min="3484" max="3484" width="10.42578125" customWidth="1"/>
    <col min="3487" max="3487" width="10.28515625" customWidth="1"/>
    <col min="3731" max="3731" width="7" customWidth="1"/>
    <col min="3732" max="3732" width="30.140625" customWidth="1"/>
    <col min="3733" max="3733" width="6.28515625" customWidth="1"/>
    <col min="3734" max="3734" width="31.42578125" customWidth="1"/>
    <col min="3735" max="3735" width="10.5703125" customWidth="1"/>
    <col min="3736" max="3736" width="10.42578125" customWidth="1"/>
    <col min="3737" max="3737" width="9.5703125" customWidth="1"/>
    <col min="3738" max="3738" width="8.42578125" customWidth="1"/>
    <col min="3739" max="3739" width="9" customWidth="1"/>
    <col min="3740" max="3740" width="10.42578125" customWidth="1"/>
    <col min="3743" max="3743" width="10.28515625" customWidth="1"/>
    <col min="3987" max="3987" width="7" customWidth="1"/>
    <col min="3988" max="3988" width="30.140625" customWidth="1"/>
    <col min="3989" max="3989" width="6.28515625" customWidth="1"/>
    <col min="3990" max="3990" width="31.42578125" customWidth="1"/>
    <col min="3991" max="3991" width="10.5703125" customWidth="1"/>
    <col min="3992" max="3992" width="10.42578125" customWidth="1"/>
    <col min="3993" max="3993" width="9.5703125" customWidth="1"/>
    <col min="3994" max="3994" width="8.42578125" customWidth="1"/>
    <col min="3995" max="3995" width="9" customWidth="1"/>
    <col min="3996" max="3996" width="10.42578125" customWidth="1"/>
    <col min="3999" max="3999" width="10.28515625" customWidth="1"/>
    <col min="4243" max="4243" width="7" customWidth="1"/>
    <col min="4244" max="4244" width="30.140625" customWidth="1"/>
    <col min="4245" max="4245" width="6.28515625" customWidth="1"/>
    <col min="4246" max="4246" width="31.42578125" customWidth="1"/>
    <col min="4247" max="4247" width="10.5703125" customWidth="1"/>
    <col min="4248" max="4248" width="10.42578125" customWidth="1"/>
    <col min="4249" max="4249" width="9.5703125" customWidth="1"/>
    <col min="4250" max="4250" width="8.42578125" customWidth="1"/>
    <col min="4251" max="4251" width="9" customWidth="1"/>
    <col min="4252" max="4252" width="10.42578125" customWidth="1"/>
    <col min="4255" max="4255" width="10.28515625" customWidth="1"/>
    <col min="4499" max="4499" width="7" customWidth="1"/>
    <col min="4500" max="4500" width="30.140625" customWidth="1"/>
    <col min="4501" max="4501" width="6.28515625" customWidth="1"/>
    <col min="4502" max="4502" width="31.42578125" customWidth="1"/>
    <col min="4503" max="4503" width="10.5703125" customWidth="1"/>
    <col min="4504" max="4504" width="10.42578125" customWidth="1"/>
    <col min="4505" max="4505" width="9.5703125" customWidth="1"/>
    <col min="4506" max="4506" width="8.42578125" customWidth="1"/>
    <col min="4507" max="4507" width="9" customWidth="1"/>
    <col min="4508" max="4508" width="10.42578125" customWidth="1"/>
    <col min="4511" max="4511" width="10.28515625" customWidth="1"/>
    <col min="4755" max="4755" width="7" customWidth="1"/>
    <col min="4756" max="4756" width="30.140625" customWidth="1"/>
    <col min="4757" max="4757" width="6.28515625" customWidth="1"/>
    <col min="4758" max="4758" width="31.42578125" customWidth="1"/>
    <col min="4759" max="4759" width="10.5703125" customWidth="1"/>
    <col min="4760" max="4760" width="10.42578125" customWidth="1"/>
    <col min="4761" max="4761" width="9.5703125" customWidth="1"/>
    <col min="4762" max="4762" width="8.42578125" customWidth="1"/>
    <col min="4763" max="4763" width="9" customWidth="1"/>
    <col min="4764" max="4764" width="10.42578125" customWidth="1"/>
    <col min="4767" max="4767" width="10.28515625" customWidth="1"/>
    <col min="5011" max="5011" width="7" customWidth="1"/>
    <col min="5012" max="5012" width="30.140625" customWidth="1"/>
    <col min="5013" max="5013" width="6.28515625" customWidth="1"/>
    <col min="5014" max="5014" width="31.42578125" customWidth="1"/>
    <col min="5015" max="5015" width="10.5703125" customWidth="1"/>
    <col min="5016" max="5016" width="10.42578125" customWidth="1"/>
    <col min="5017" max="5017" width="9.5703125" customWidth="1"/>
    <col min="5018" max="5018" width="8.42578125" customWidth="1"/>
    <col min="5019" max="5019" width="9" customWidth="1"/>
    <col min="5020" max="5020" width="10.42578125" customWidth="1"/>
    <col min="5023" max="5023" width="10.28515625" customWidth="1"/>
    <col min="5267" max="5267" width="7" customWidth="1"/>
    <col min="5268" max="5268" width="30.140625" customWidth="1"/>
    <col min="5269" max="5269" width="6.28515625" customWidth="1"/>
    <col min="5270" max="5270" width="31.42578125" customWidth="1"/>
    <col min="5271" max="5271" width="10.5703125" customWidth="1"/>
    <col min="5272" max="5272" width="10.42578125" customWidth="1"/>
    <col min="5273" max="5273" width="9.5703125" customWidth="1"/>
    <col min="5274" max="5274" width="8.42578125" customWidth="1"/>
    <col min="5275" max="5275" width="9" customWidth="1"/>
    <col min="5276" max="5276" width="10.42578125" customWidth="1"/>
    <col min="5279" max="5279" width="10.28515625" customWidth="1"/>
    <col min="5523" max="5523" width="7" customWidth="1"/>
    <col min="5524" max="5524" width="30.140625" customWidth="1"/>
    <col min="5525" max="5525" width="6.28515625" customWidth="1"/>
    <col min="5526" max="5526" width="31.42578125" customWidth="1"/>
    <col min="5527" max="5527" width="10.5703125" customWidth="1"/>
    <col min="5528" max="5528" width="10.42578125" customWidth="1"/>
    <col min="5529" max="5529" width="9.5703125" customWidth="1"/>
    <col min="5530" max="5530" width="8.42578125" customWidth="1"/>
    <col min="5531" max="5531" width="9" customWidth="1"/>
    <col min="5532" max="5532" width="10.42578125" customWidth="1"/>
    <col min="5535" max="5535" width="10.28515625" customWidth="1"/>
    <col min="5779" max="5779" width="7" customWidth="1"/>
    <col min="5780" max="5780" width="30.140625" customWidth="1"/>
    <col min="5781" max="5781" width="6.28515625" customWidth="1"/>
    <col min="5782" max="5782" width="31.42578125" customWidth="1"/>
    <col min="5783" max="5783" width="10.5703125" customWidth="1"/>
    <col min="5784" max="5784" width="10.42578125" customWidth="1"/>
    <col min="5785" max="5785" width="9.5703125" customWidth="1"/>
    <col min="5786" max="5786" width="8.42578125" customWidth="1"/>
    <col min="5787" max="5787" width="9" customWidth="1"/>
    <col min="5788" max="5788" width="10.42578125" customWidth="1"/>
    <col min="5791" max="5791" width="10.28515625" customWidth="1"/>
    <col min="6035" max="6035" width="7" customWidth="1"/>
    <col min="6036" max="6036" width="30.140625" customWidth="1"/>
    <col min="6037" max="6037" width="6.28515625" customWidth="1"/>
    <col min="6038" max="6038" width="31.42578125" customWidth="1"/>
    <col min="6039" max="6039" width="10.5703125" customWidth="1"/>
    <col min="6040" max="6040" width="10.42578125" customWidth="1"/>
    <col min="6041" max="6041" width="9.5703125" customWidth="1"/>
    <col min="6042" max="6042" width="8.42578125" customWidth="1"/>
    <col min="6043" max="6043" width="9" customWidth="1"/>
    <col min="6044" max="6044" width="10.42578125" customWidth="1"/>
    <col min="6047" max="6047" width="10.28515625" customWidth="1"/>
    <col min="6291" max="6291" width="7" customWidth="1"/>
    <col min="6292" max="6292" width="30.140625" customWidth="1"/>
    <col min="6293" max="6293" width="6.28515625" customWidth="1"/>
    <col min="6294" max="6294" width="31.42578125" customWidth="1"/>
    <col min="6295" max="6295" width="10.5703125" customWidth="1"/>
    <col min="6296" max="6296" width="10.42578125" customWidth="1"/>
    <col min="6297" max="6297" width="9.5703125" customWidth="1"/>
    <col min="6298" max="6298" width="8.42578125" customWidth="1"/>
    <col min="6299" max="6299" width="9" customWidth="1"/>
    <col min="6300" max="6300" width="10.42578125" customWidth="1"/>
    <col min="6303" max="6303" width="10.28515625" customWidth="1"/>
    <col min="6547" max="6547" width="7" customWidth="1"/>
    <col min="6548" max="6548" width="30.140625" customWidth="1"/>
    <col min="6549" max="6549" width="6.28515625" customWidth="1"/>
    <col min="6550" max="6550" width="31.42578125" customWidth="1"/>
    <col min="6551" max="6551" width="10.5703125" customWidth="1"/>
    <col min="6552" max="6552" width="10.42578125" customWidth="1"/>
    <col min="6553" max="6553" width="9.5703125" customWidth="1"/>
    <col min="6554" max="6554" width="8.42578125" customWidth="1"/>
    <col min="6555" max="6555" width="9" customWidth="1"/>
    <col min="6556" max="6556" width="10.42578125" customWidth="1"/>
    <col min="6559" max="6559" width="10.28515625" customWidth="1"/>
    <col min="6803" max="6803" width="7" customWidth="1"/>
    <col min="6804" max="6804" width="30.140625" customWidth="1"/>
    <col min="6805" max="6805" width="6.28515625" customWidth="1"/>
    <col min="6806" max="6806" width="31.42578125" customWidth="1"/>
    <col min="6807" max="6807" width="10.5703125" customWidth="1"/>
    <col min="6808" max="6808" width="10.42578125" customWidth="1"/>
    <col min="6809" max="6809" width="9.5703125" customWidth="1"/>
    <col min="6810" max="6810" width="8.42578125" customWidth="1"/>
    <col min="6811" max="6811" width="9" customWidth="1"/>
    <col min="6812" max="6812" width="10.42578125" customWidth="1"/>
    <col min="6815" max="6815" width="10.28515625" customWidth="1"/>
    <col min="7059" max="7059" width="7" customWidth="1"/>
    <col min="7060" max="7060" width="30.140625" customWidth="1"/>
    <col min="7061" max="7061" width="6.28515625" customWidth="1"/>
    <col min="7062" max="7062" width="31.42578125" customWidth="1"/>
    <col min="7063" max="7063" width="10.5703125" customWidth="1"/>
    <col min="7064" max="7064" width="10.42578125" customWidth="1"/>
    <col min="7065" max="7065" width="9.5703125" customWidth="1"/>
    <col min="7066" max="7066" width="8.42578125" customWidth="1"/>
    <col min="7067" max="7067" width="9" customWidth="1"/>
    <col min="7068" max="7068" width="10.42578125" customWidth="1"/>
    <col min="7071" max="7071" width="10.28515625" customWidth="1"/>
    <col min="7315" max="7315" width="7" customWidth="1"/>
    <col min="7316" max="7316" width="30.140625" customWidth="1"/>
    <col min="7317" max="7317" width="6.28515625" customWidth="1"/>
    <col min="7318" max="7318" width="31.42578125" customWidth="1"/>
    <col min="7319" max="7319" width="10.5703125" customWidth="1"/>
    <col min="7320" max="7320" width="10.42578125" customWidth="1"/>
    <col min="7321" max="7321" width="9.5703125" customWidth="1"/>
    <col min="7322" max="7322" width="8.42578125" customWidth="1"/>
    <col min="7323" max="7323" width="9" customWidth="1"/>
    <col min="7324" max="7324" width="10.42578125" customWidth="1"/>
    <col min="7327" max="7327" width="10.28515625" customWidth="1"/>
    <col min="7571" max="7571" width="7" customWidth="1"/>
    <col min="7572" max="7572" width="30.140625" customWidth="1"/>
    <col min="7573" max="7573" width="6.28515625" customWidth="1"/>
    <col min="7574" max="7574" width="31.42578125" customWidth="1"/>
    <col min="7575" max="7575" width="10.5703125" customWidth="1"/>
    <col min="7576" max="7576" width="10.42578125" customWidth="1"/>
    <col min="7577" max="7577" width="9.5703125" customWidth="1"/>
    <col min="7578" max="7578" width="8.42578125" customWidth="1"/>
    <col min="7579" max="7579" width="9" customWidth="1"/>
    <col min="7580" max="7580" width="10.42578125" customWidth="1"/>
    <col min="7583" max="7583" width="10.28515625" customWidth="1"/>
    <col min="7827" max="7827" width="7" customWidth="1"/>
    <col min="7828" max="7828" width="30.140625" customWidth="1"/>
    <col min="7829" max="7829" width="6.28515625" customWidth="1"/>
    <col min="7830" max="7830" width="31.42578125" customWidth="1"/>
    <col min="7831" max="7831" width="10.5703125" customWidth="1"/>
    <col min="7832" max="7832" width="10.42578125" customWidth="1"/>
    <col min="7833" max="7833" width="9.5703125" customWidth="1"/>
    <col min="7834" max="7834" width="8.42578125" customWidth="1"/>
    <col min="7835" max="7835" width="9" customWidth="1"/>
    <col min="7836" max="7836" width="10.42578125" customWidth="1"/>
    <col min="7839" max="7839" width="10.28515625" customWidth="1"/>
    <col min="8083" max="8083" width="7" customWidth="1"/>
    <col min="8084" max="8084" width="30.140625" customWidth="1"/>
    <col min="8085" max="8085" width="6.28515625" customWidth="1"/>
    <col min="8086" max="8086" width="31.42578125" customWidth="1"/>
    <col min="8087" max="8087" width="10.5703125" customWidth="1"/>
    <col min="8088" max="8088" width="10.42578125" customWidth="1"/>
    <col min="8089" max="8089" width="9.5703125" customWidth="1"/>
    <col min="8090" max="8090" width="8.42578125" customWidth="1"/>
    <col min="8091" max="8091" width="9" customWidth="1"/>
    <col min="8092" max="8092" width="10.42578125" customWidth="1"/>
    <col min="8095" max="8095" width="10.28515625" customWidth="1"/>
    <col min="8339" max="8339" width="7" customWidth="1"/>
    <col min="8340" max="8340" width="30.140625" customWidth="1"/>
    <col min="8341" max="8341" width="6.28515625" customWidth="1"/>
    <col min="8342" max="8342" width="31.42578125" customWidth="1"/>
    <col min="8343" max="8343" width="10.5703125" customWidth="1"/>
    <col min="8344" max="8344" width="10.42578125" customWidth="1"/>
    <col min="8345" max="8345" width="9.5703125" customWidth="1"/>
    <col min="8346" max="8346" width="8.42578125" customWidth="1"/>
    <col min="8347" max="8347" width="9" customWidth="1"/>
    <col min="8348" max="8348" width="10.42578125" customWidth="1"/>
    <col min="8351" max="8351" width="10.28515625" customWidth="1"/>
    <col min="8595" max="8595" width="7" customWidth="1"/>
    <col min="8596" max="8596" width="30.140625" customWidth="1"/>
    <col min="8597" max="8597" width="6.28515625" customWidth="1"/>
    <col min="8598" max="8598" width="31.42578125" customWidth="1"/>
    <col min="8599" max="8599" width="10.5703125" customWidth="1"/>
    <col min="8600" max="8600" width="10.42578125" customWidth="1"/>
    <col min="8601" max="8601" width="9.5703125" customWidth="1"/>
    <col min="8602" max="8602" width="8.42578125" customWidth="1"/>
    <col min="8603" max="8603" width="9" customWidth="1"/>
    <col min="8604" max="8604" width="10.42578125" customWidth="1"/>
    <col min="8607" max="8607" width="10.28515625" customWidth="1"/>
    <col min="8851" max="8851" width="7" customWidth="1"/>
    <col min="8852" max="8852" width="30.140625" customWidth="1"/>
    <col min="8853" max="8853" width="6.28515625" customWidth="1"/>
    <col min="8854" max="8854" width="31.42578125" customWidth="1"/>
    <col min="8855" max="8855" width="10.5703125" customWidth="1"/>
    <col min="8856" max="8856" width="10.42578125" customWidth="1"/>
    <col min="8857" max="8857" width="9.5703125" customWidth="1"/>
    <col min="8858" max="8858" width="8.42578125" customWidth="1"/>
    <col min="8859" max="8859" width="9" customWidth="1"/>
    <col min="8860" max="8860" width="10.42578125" customWidth="1"/>
    <col min="8863" max="8863" width="10.28515625" customWidth="1"/>
    <col min="9107" max="9107" width="7" customWidth="1"/>
    <col min="9108" max="9108" width="30.140625" customWidth="1"/>
    <col min="9109" max="9109" width="6.28515625" customWidth="1"/>
    <col min="9110" max="9110" width="31.42578125" customWidth="1"/>
    <col min="9111" max="9111" width="10.5703125" customWidth="1"/>
    <col min="9112" max="9112" width="10.42578125" customWidth="1"/>
    <col min="9113" max="9113" width="9.5703125" customWidth="1"/>
    <col min="9114" max="9114" width="8.42578125" customWidth="1"/>
    <col min="9115" max="9115" width="9" customWidth="1"/>
    <col min="9116" max="9116" width="10.42578125" customWidth="1"/>
    <col min="9119" max="9119" width="10.28515625" customWidth="1"/>
    <col min="9363" max="9363" width="7" customWidth="1"/>
    <col min="9364" max="9364" width="30.140625" customWidth="1"/>
    <col min="9365" max="9365" width="6.28515625" customWidth="1"/>
    <col min="9366" max="9366" width="31.42578125" customWidth="1"/>
    <col min="9367" max="9367" width="10.5703125" customWidth="1"/>
    <col min="9368" max="9368" width="10.42578125" customWidth="1"/>
    <col min="9369" max="9369" width="9.5703125" customWidth="1"/>
    <col min="9370" max="9370" width="8.42578125" customWidth="1"/>
    <col min="9371" max="9371" width="9" customWidth="1"/>
    <col min="9372" max="9372" width="10.42578125" customWidth="1"/>
    <col min="9375" max="9375" width="10.28515625" customWidth="1"/>
    <col min="9619" max="9619" width="7" customWidth="1"/>
    <col min="9620" max="9620" width="30.140625" customWidth="1"/>
    <col min="9621" max="9621" width="6.28515625" customWidth="1"/>
    <col min="9622" max="9622" width="31.42578125" customWidth="1"/>
    <col min="9623" max="9623" width="10.5703125" customWidth="1"/>
    <col min="9624" max="9624" width="10.42578125" customWidth="1"/>
    <col min="9625" max="9625" width="9.5703125" customWidth="1"/>
    <col min="9626" max="9626" width="8.42578125" customWidth="1"/>
    <col min="9627" max="9627" width="9" customWidth="1"/>
    <col min="9628" max="9628" width="10.42578125" customWidth="1"/>
    <col min="9631" max="9631" width="10.28515625" customWidth="1"/>
    <col min="9875" max="9875" width="7" customWidth="1"/>
    <col min="9876" max="9876" width="30.140625" customWidth="1"/>
    <col min="9877" max="9877" width="6.28515625" customWidth="1"/>
    <col min="9878" max="9878" width="31.42578125" customWidth="1"/>
    <col min="9879" max="9879" width="10.5703125" customWidth="1"/>
    <col min="9880" max="9880" width="10.42578125" customWidth="1"/>
    <col min="9881" max="9881" width="9.5703125" customWidth="1"/>
    <col min="9882" max="9882" width="8.42578125" customWidth="1"/>
    <col min="9883" max="9883" width="9" customWidth="1"/>
    <col min="9884" max="9884" width="10.42578125" customWidth="1"/>
    <col min="9887" max="9887" width="10.28515625" customWidth="1"/>
    <col min="10131" max="10131" width="7" customWidth="1"/>
    <col min="10132" max="10132" width="30.140625" customWidth="1"/>
    <col min="10133" max="10133" width="6.28515625" customWidth="1"/>
    <col min="10134" max="10134" width="31.42578125" customWidth="1"/>
    <col min="10135" max="10135" width="10.5703125" customWidth="1"/>
    <col min="10136" max="10136" width="10.42578125" customWidth="1"/>
    <col min="10137" max="10137" width="9.5703125" customWidth="1"/>
    <col min="10138" max="10138" width="8.42578125" customWidth="1"/>
    <col min="10139" max="10139" width="9" customWidth="1"/>
    <col min="10140" max="10140" width="10.42578125" customWidth="1"/>
    <col min="10143" max="10143" width="10.28515625" customWidth="1"/>
    <col min="10387" max="10387" width="7" customWidth="1"/>
    <col min="10388" max="10388" width="30.140625" customWidth="1"/>
    <col min="10389" max="10389" width="6.28515625" customWidth="1"/>
    <col min="10390" max="10390" width="31.42578125" customWidth="1"/>
    <col min="10391" max="10391" width="10.5703125" customWidth="1"/>
    <col min="10392" max="10392" width="10.42578125" customWidth="1"/>
    <col min="10393" max="10393" width="9.5703125" customWidth="1"/>
    <col min="10394" max="10394" width="8.42578125" customWidth="1"/>
    <col min="10395" max="10395" width="9" customWidth="1"/>
    <col min="10396" max="10396" width="10.42578125" customWidth="1"/>
    <col min="10399" max="10399" width="10.28515625" customWidth="1"/>
    <col min="10643" max="10643" width="7" customWidth="1"/>
    <col min="10644" max="10644" width="30.140625" customWidth="1"/>
    <col min="10645" max="10645" width="6.28515625" customWidth="1"/>
    <col min="10646" max="10646" width="31.42578125" customWidth="1"/>
    <col min="10647" max="10647" width="10.5703125" customWidth="1"/>
    <col min="10648" max="10648" width="10.42578125" customWidth="1"/>
    <col min="10649" max="10649" width="9.5703125" customWidth="1"/>
    <col min="10650" max="10650" width="8.42578125" customWidth="1"/>
    <col min="10651" max="10651" width="9" customWidth="1"/>
    <col min="10652" max="10652" width="10.42578125" customWidth="1"/>
    <col min="10655" max="10655" width="10.28515625" customWidth="1"/>
    <col min="10899" max="10899" width="7" customWidth="1"/>
    <col min="10900" max="10900" width="30.140625" customWidth="1"/>
    <col min="10901" max="10901" width="6.28515625" customWidth="1"/>
    <col min="10902" max="10902" width="31.42578125" customWidth="1"/>
    <col min="10903" max="10903" width="10.5703125" customWidth="1"/>
    <col min="10904" max="10904" width="10.42578125" customWidth="1"/>
    <col min="10905" max="10905" width="9.5703125" customWidth="1"/>
    <col min="10906" max="10906" width="8.42578125" customWidth="1"/>
    <col min="10907" max="10907" width="9" customWidth="1"/>
    <col min="10908" max="10908" width="10.42578125" customWidth="1"/>
    <col min="10911" max="10911" width="10.28515625" customWidth="1"/>
    <col min="11155" max="11155" width="7" customWidth="1"/>
    <col min="11156" max="11156" width="30.140625" customWidth="1"/>
    <col min="11157" max="11157" width="6.28515625" customWidth="1"/>
    <col min="11158" max="11158" width="31.42578125" customWidth="1"/>
    <col min="11159" max="11159" width="10.5703125" customWidth="1"/>
    <col min="11160" max="11160" width="10.42578125" customWidth="1"/>
    <col min="11161" max="11161" width="9.5703125" customWidth="1"/>
    <col min="11162" max="11162" width="8.42578125" customWidth="1"/>
    <col min="11163" max="11163" width="9" customWidth="1"/>
    <col min="11164" max="11164" width="10.42578125" customWidth="1"/>
    <col min="11167" max="11167" width="10.28515625" customWidth="1"/>
    <col min="11411" max="11411" width="7" customWidth="1"/>
    <col min="11412" max="11412" width="30.140625" customWidth="1"/>
    <col min="11413" max="11413" width="6.28515625" customWidth="1"/>
    <col min="11414" max="11414" width="31.42578125" customWidth="1"/>
    <col min="11415" max="11415" width="10.5703125" customWidth="1"/>
    <col min="11416" max="11416" width="10.42578125" customWidth="1"/>
    <col min="11417" max="11417" width="9.5703125" customWidth="1"/>
    <col min="11418" max="11418" width="8.42578125" customWidth="1"/>
    <col min="11419" max="11419" width="9" customWidth="1"/>
    <col min="11420" max="11420" width="10.42578125" customWidth="1"/>
    <col min="11423" max="11423" width="10.28515625" customWidth="1"/>
    <col min="11667" max="11667" width="7" customWidth="1"/>
    <col min="11668" max="11668" width="30.140625" customWidth="1"/>
    <col min="11669" max="11669" width="6.28515625" customWidth="1"/>
    <col min="11670" max="11670" width="31.42578125" customWidth="1"/>
    <col min="11671" max="11671" width="10.5703125" customWidth="1"/>
    <col min="11672" max="11672" width="10.42578125" customWidth="1"/>
    <col min="11673" max="11673" width="9.5703125" customWidth="1"/>
    <col min="11674" max="11674" width="8.42578125" customWidth="1"/>
    <col min="11675" max="11675" width="9" customWidth="1"/>
    <col min="11676" max="11676" width="10.42578125" customWidth="1"/>
    <col min="11679" max="11679" width="10.28515625" customWidth="1"/>
    <col min="11923" max="11923" width="7" customWidth="1"/>
    <col min="11924" max="11924" width="30.140625" customWidth="1"/>
    <col min="11925" max="11925" width="6.28515625" customWidth="1"/>
    <col min="11926" max="11926" width="31.42578125" customWidth="1"/>
    <col min="11927" max="11927" width="10.5703125" customWidth="1"/>
    <col min="11928" max="11928" width="10.42578125" customWidth="1"/>
    <col min="11929" max="11929" width="9.5703125" customWidth="1"/>
    <col min="11930" max="11930" width="8.42578125" customWidth="1"/>
    <col min="11931" max="11931" width="9" customWidth="1"/>
    <col min="11932" max="11932" width="10.42578125" customWidth="1"/>
    <col min="11935" max="11935" width="10.28515625" customWidth="1"/>
    <col min="12179" max="12179" width="7" customWidth="1"/>
    <col min="12180" max="12180" width="30.140625" customWidth="1"/>
    <col min="12181" max="12181" width="6.28515625" customWidth="1"/>
    <col min="12182" max="12182" width="31.42578125" customWidth="1"/>
    <col min="12183" max="12183" width="10.5703125" customWidth="1"/>
    <col min="12184" max="12184" width="10.42578125" customWidth="1"/>
    <col min="12185" max="12185" width="9.5703125" customWidth="1"/>
    <col min="12186" max="12186" width="8.42578125" customWidth="1"/>
    <col min="12187" max="12187" width="9" customWidth="1"/>
    <col min="12188" max="12188" width="10.42578125" customWidth="1"/>
    <col min="12191" max="12191" width="10.28515625" customWidth="1"/>
    <col min="12435" max="12435" width="7" customWidth="1"/>
    <col min="12436" max="12436" width="30.140625" customWidth="1"/>
    <col min="12437" max="12437" width="6.28515625" customWidth="1"/>
    <col min="12438" max="12438" width="31.42578125" customWidth="1"/>
    <col min="12439" max="12439" width="10.5703125" customWidth="1"/>
    <col min="12440" max="12440" width="10.42578125" customWidth="1"/>
    <col min="12441" max="12441" width="9.5703125" customWidth="1"/>
    <col min="12442" max="12442" width="8.42578125" customWidth="1"/>
    <col min="12443" max="12443" width="9" customWidth="1"/>
    <col min="12444" max="12444" width="10.42578125" customWidth="1"/>
    <col min="12447" max="12447" width="10.28515625" customWidth="1"/>
    <col min="12691" max="12691" width="7" customWidth="1"/>
    <col min="12692" max="12692" width="30.140625" customWidth="1"/>
    <col min="12693" max="12693" width="6.28515625" customWidth="1"/>
    <col min="12694" max="12694" width="31.42578125" customWidth="1"/>
    <col min="12695" max="12695" width="10.5703125" customWidth="1"/>
    <col min="12696" max="12696" width="10.42578125" customWidth="1"/>
    <col min="12697" max="12697" width="9.5703125" customWidth="1"/>
    <col min="12698" max="12698" width="8.42578125" customWidth="1"/>
    <col min="12699" max="12699" width="9" customWidth="1"/>
    <col min="12700" max="12700" width="10.42578125" customWidth="1"/>
    <col min="12703" max="12703" width="10.28515625" customWidth="1"/>
    <col min="12947" max="12947" width="7" customWidth="1"/>
    <col min="12948" max="12948" width="30.140625" customWidth="1"/>
    <col min="12949" max="12949" width="6.28515625" customWidth="1"/>
    <col min="12950" max="12950" width="31.42578125" customWidth="1"/>
    <col min="12951" max="12951" width="10.5703125" customWidth="1"/>
    <col min="12952" max="12952" width="10.42578125" customWidth="1"/>
    <col min="12953" max="12953" width="9.5703125" customWidth="1"/>
    <col min="12954" max="12954" width="8.42578125" customWidth="1"/>
    <col min="12955" max="12955" width="9" customWidth="1"/>
    <col min="12956" max="12956" width="10.42578125" customWidth="1"/>
    <col min="12959" max="12959" width="10.28515625" customWidth="1"/>
    <col min="13203" max="13203" width="7" customWidth="1"/>
    <col min="13204" max="13204" width="30.140625" customWidth="1"/>
    <col min="13205" max="13205" width="6.28515625" customWidth="1"/>
    <col min="13206" max="13206" width="31.42578125" customWidth="1"/>
    <col min="13207" max="13207" width="10.5703125" customWidth="1"/>
    <col min="13208" max="13208" width="10.42578125" customWidth="1"/>
    <col min="13209" max="13209" width="9.5703125" customWidth="1"/>
    <col min="13210" max="13210" width="8.42578125" customWidth="1"/>
    <col min="13211" max="13211" width="9" customWidth="1"/>
    <col min="13212" max="13212" width="10.42578125" customWidth="1"/>
    <col min="13215" max="13215" width="10.28515625" customWidth="1"/>
    <col min="13459" max="13459" width="7" customWidth="1"/>
    <col min="13460" max="13460" width="30.140625" customWidth="1"/>
    <col min="13461" max="13461" width="6.28515625" customWidth="1"/>
    <col min="13462" max="13462" width="31.42578125" customWidth="1"/>
    <col min="13463" max="13463" width="10.5703125" customWidth="1"/>
    <col min="13464" max="13464" width="10.42578125" customWidth="1"/>
    <col min="13465" max="13465" width="9.5703125" customWidth="1"/>
    <col min="13466" max="13466" width="8.42578125" customWidth="1"/>
    <col min="13467" max="13467" width="9" customWidth="1"/>
    <col min="13468" max="13468" width="10.42578125" customWidth="1"/>
    <col min="13471" max="13471" width="10.28515625" customWidth="1"/>
    <col min="13715" max="13715" width="7" customWidth="1"/>
    <col min="13716" max="13716" width="30.140625" customWidth="1"/>
    <col min="13717" max="13717" width="6.28515625" customWidth="1"/>
    <col min="13718" max="13718" width="31.42578125" customWidth="1"/>
    <col min="13719" max="13719" width="10.5703125" customWidth="1"/>
    <col min="13720" max="13720" width="10.42578125" customWidth="1"/>
    <col min="13721" max="13721" width="9.5703125" customWidth="1"/>
    <col min="13722" max="13722" width="8.42578125" customWidth="1"/>
    <col min="13723" max="13723" width="9" customWidth="1"/>
    <col min="13724" max="13724" width="10.42578125" customWidth="1"/>
    <col min="13727" max="13727" width="10.28515625" customWidth="1"/>
    <col min="13971" max="13971" width="7" customWidth="1"/>
    <col min="13972" max="13972" width="30.140625" customWidth="1"/>
    <col min="13973" max="13973" width="6.28515625" customWidth="1"/>
    <col min="13974" max="13974" width="31.42578125" customWidth="1"/>
    <col min="13975" max="13975" width="10.5703125" customWidth="1"/>
    <col min="13976" max="13976" width="10.42578125" customWidth="1"/>
    <col min="13977" max="13977" width="9.5703125" customWidth="1"/>
    <col min="13978" max="13978" width="8.42578125" customWidth="1"/>
    <col min="13979" max="13979" width="9" customWidth="1"/>
    <col min="13980" max="13980" width="10.42578125" customWidth="1"/>
    <col min="13983" max="13983" width="10.28515625" customWidth="1"/>
    <col min="14227" max="14227" width="7" customWidth="1"/>
    <col min="14228" max="14228" width="30.140625" customWidth="1"/>
    <col min="14229" max="14229" width="6.28515625" customWidth="1"/>
    <col min="14230" max="14230" width="31.42578125" customWidth="1"/>
    <col min="14231" max="14231" width="10.5703125" customWidth="1"/>
    <col min="14232" max="14232" width="10.42578125" customWidth="1"/>
    <col min="14233" max="14233" width="9.5703125" customWidth="1"/>
    <col min="14234" max="14234" width="8.42578125" customWidth="1"/>
    <col min="14235" max="14235" width="9" customWidth="1"/>
    <col min="14236" max="14236" width="10.42578125" customWidth="1"/>
    <col min="14239" max="14239" width="10.28515625" customWidth="1"/>
    <col min="14483" max="14483" width="7" customWidth="1"/>
    <col min="14484" max="14484" width="30.140625" customWidth="1"/>
    <col min="14485" max="14485" width="6.28515625" customWidth="1"/>
    <col min="14486" max="14486" width="31.42578125" customWidth="1"/>
    <col min="14487" max="14487" width="10.5703125" customWidth="1"/>
    <col min="14488" max="14488" width="10.42578125" customWidth="1"/>
    <col min="14489" max="14489" width="9.5703125" customWidth="1"/>
    <col min="14490" max="14490" width="8.42578125" customWidth="1"/>
    <col min="14491" max="14491" width="9" customWidth="1"/>
    <col min="14492" max="14492" width="10.42578125" customWidth="1"/>
    <col min="14495" max="14495" width="10.28515625" customWidth="1"/>
    <col min="14739" max="14739" width="7" customWidth="1"/>
    <col min="14740" max="14740" width="30.140625" customWidth="1"/>
    <col min="14741" max="14741" width="6.28515625" customWidth="1"/>
    <col min="14742" max="14742" width="31.42578125" customWidth="1"/>
    <col min="14743" max="14743" width="10.5703125" customWidth="1"/>
    <col min="14744" max="14744" width="10.42578125" customWidth="1"/>
    <col min="14745" max="14745" width="9.5703125" customWidth="1"/>
    <col min="14746" max="14746" width="8.42578125" customWidth="1"/>
    <col min="14747" max="14747" width="9" customWidth="1"/>
    <col min="14748" max="14748" width="10.42578125" customWidth="1"/>
    <col min="14751" max="14751" width="10.28515625" customWidth="1"/>
    <col min="14995" max="14995" width="7" customWidth="1"/>
    <col min="14996" max="14996" width="30.140625" customWidth="1"/>
    <col min="14997" max="14997" width="6.28515625" customWidth="1"/>
    <col min="14998" max="14998" width="31.42578125" customWidth="1"/>
    <col min="14999" max="14999" width="10.5703125" customWidth="1"/>
    <col min="15000" max="15000" width="10.42578125" customWidth="1"/>
    <col min="15001" max="15001" width="9.5703125" customWidth="1"/>
    <col min="15002" max="15002" width="8.42578125" customWidth="1"/>
    <col min="15003" max="15003" width="9" customWidth="1"/>
    <col min="15004" max="15004" width="10.42578125" customWidth="1"/>
    <col min="15007" max="15007" width="10.28515625" customWidth="1"/>
    <col min="15251" max="15251" width="7" customWidth="1"/>
    <col min="15252" max="15252" width="30.140625" customWidth="1"/>
    <col min="15253" max="15253" width="6.28515625" customWidth="1"/>
    <col min="15254" max="15254" width="31.42578125" customWidth="1"/>
    <col min="15255" max="15255" width="10.5703125" customWidth="1"/>
    <col min="15256" max="15256" width="10.42578125" customWidth="1"/>
    <col min="15257" max="15257" width="9.5703125" customWidth="1"/>
    <col min="15258" max="15258" width="8.42578125" customWidth="1"/>
    <col min="15259" max="15259" width="9" customWidth="1"/>
    <col min="15260" max="15260" width="10.42578125" customWidth="1"/>
    <col min="15263" max="15263" width="10.28515625" customWidth="1"/>
    <col min="15507" max="15507" width="7" customWidth="1"/>
    <col min="15508" max="15508" width="30.140625" customWidth="1"/>
    <col min="15509" max="15509" width="6.28515625" customWidth="1"/>
    <col min="15510" max="15510" width="31.42578125" customWidth="1"/>
    <col min="15511" max="15511" width="10.5703125" customWidth="1"/>
    <col min="15512" max="15512" width="10.42578125" customWidth="1"/>
    <col min="15513" max="15513" width="9.5703125" customWidth="1"/>
    <col min="15514" max="15514" width="8.42578125" customWidth="1"/>
    <col min="15515" max="15515" width="9" customWidth="1"/>
    <col min="15516" max="15516" width="10.42578125" customWidth="1"/>
    <col min="15519" max="15519" width="10.28515625" customWidth="1"/>
    <col min="15763" max="15763" width="7" customWidth="1"/>
    <col min="15764" max="15764" width="30.140625" customWidth="1"/>
    <col min="15765" max="15765" width="6.28515625" customWidth="1"/>
    <col min="15766" max="15766" width="31.42578125" customWidth="1"/>
    <col min="15767" max="15767" width="10.5703125" customWidth="1"/>
    <col min="15768" max="15768" width="10.42578125" customWidth="1"/>
    <col min="15769" max="15769" width="9.5703125" customWidth="1"/>
    <col min="15770" max="15770" width="8.42578125" customWidth="1"/>
    <col min="15771" max="15771" width="9" customWidth="1"/>
    <col min="15772" max="15772" width="10.42578125" customWidth="1"/>
    <col min="15775" max="15775" width="10.28515625" customWidth="1"/>
    <col min="16019" max="16019" width="7" customWidth="1"/>
    <col min="16020" max="16020" width="30.140625" customWidth="1"/>
    <col min="16021" max="16021" width="6.28515625" customWidth="1"/>
    <col min="16022" max="16022" width="31.42578125" customWidth="1"/>
    <col min="16023" max="16023" width="10.5703125" customWidth="1"/>
    <col min="16024" max="16024" width="10.42578125" customWidth="1"/>
    <col min="16025" max="16025" width="9.5703125" customWidth="1"/>
    <col min="16026" max="16026" width="8.42578125" customWidth="1"/>
    <col min="16027" max="16027" width="9" customWidth="1"/>
    <col min="16028" max="16028" width="10.42578125" customWidth="1"/>
    <col min="16031" max="16031" width="10.28515625" customWidth="1"/>
  </cols>
  <sheetData>
    <row r="1" spans="1:44" ht="15" x14ac:dyDescent="0.25">
      <c r="A1" s="46" t="s">
        <v>2</v>
      </c>
      <c r="B1" s="46"/>
      <c r="C1" s="38"/>
      <c r="D1" s="46"/>
      <c r="E1" s="46"/>
      <c r="F1" s="61"/>
      <c r="G1" s="780" t="s">
        <v>766</v>
      </c>
      <c r="H1" s="61"/>
      <c r="AB1" s="48"/>
      <c r="AC1" s="48"/>
      <c r="AD1" s="48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15" x14ac:dyDescent="0.25">
      <c r="A2" s="46" t="s">
        <v>3</v>
      </c>
      <c r="B2" s="46"/>
      <c r="C2" s="38"/>
      <c r="D2" s="46"/>
      <c r="E2" s="46"/>
      <c r="F2" s="61"/>
      <c r="G2" s="61"/>
      <c r="H2" s="61"/>
    </row>
    <row r="3" spans="1:44" ht="12.75" customHeight="1" x14ac:dyDescent="0.25">
      <c r="A3" s="972" t="s">
        <v>4</v>
      </c>
      <c r="B3" s="972"/>
      <c r="C3" s="972"/>
      <c r="D3" s="972"/>
      <c r="E3" s="972"/>
      <c r="F3" s="61"/>
      <c r="G3" s="61"/>
      <c r="H3" s="61"/>
      <c r="AC3" s="380"/>
    </row>
    <row r="4" spans="1:44" ht="15" x14ac:dyDescent="0.25">
      <c r="A4" s="60"/>
      <c r="B4" s="46"/>
      <c r="C4" s="46"/>
      <c r="D4" s="46"/>
      <c r="E4" s="46"/>
      <c r="F4" s="61"/>
      <c r="G4" s="61"/>
      <c r="H4" s="61"/>
      <c r="O4" s="49"/>
      <c r="P4" s="90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  <c r="AF4" s="900"/>
      <c r="AG4" s="50"/>
      <c r="AH4" s="50"/>
      <c r="AI4" s="50"/>
      <c r="AJ4" s="50"/>
      <c r="AK4" s="50"/>
    </row>
    <row r="5" spans="1:44" ht="16.5" thickBot="1" x14ac:dyDescent="0.3">
      <c r="A5" s="127" t="s">
        <v>841</v>
      </c>
      <c r="B5" s="475"/>
      <c r="C5" s="475"/>
      <c r="D5" s="475"/>
      <c r="E5" s="474"/>
      <c r="F5" s="551"/>
      <c r="G5" s="551"/>
      <c r="H5" s="47"/>
      <c r="O5" s="322"/>
      <c r="P5" s="707" t="s">
        <v>832</v>
      </c>
      <c r="Q5" s="49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49"/>
      <c r="AC5" s="49"/>
      <c r="AD5" s="49"/>
      <c r="AE5" s="50"/>
      <c r="AF5" s="707" t="s">
        <v>832</v>
      </c>
      <c r="AG5" s="50"/>
      <c r="AH5" s="50"/>
      <c r="AI5" s="50"/>
      <c r="AJ5" s="50"/>
      <c r="AK5" s="50"/>
    </row>
    <row r="6" spans="1:44" ht="15" customHeight="1" thickBot="1" x14ac:dyDescent="0.3">
      <c r="A6" s="390"/>
      <c r="B6" s="391"/>
      <c r="C6" s="392"/>
      <c r="D6" s="392"/>
      <c r="E6" s="391"/>
      <c r="F6" s="391"/>
      <c r="G6" s="47"/>
      <c r="H6" s="61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4" ht="19.5" customHeight="1" thickBot="1" x14ac:dyDescent="0.3">
      <c r="A7" s="60"/>
      <c r="B7" s="5"/>
      <c r="D7" s="9"/>
      <c r="E7" s="5"/>
      <c r="F7" s="61"/>
      <c r="G7" s="61"/>
      <c r="H7" s="61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4" ht="15" customHeight="1" x14ac:dyDescent="0.25">
      <c r="A8" s="87"/>
      <c r="B8" s="62"/>
      <c r="C8" s="62"/>
      <c r="D8" s="62"/>
      <c r="E8" s="62"/>
      <c r="F8" s="62"/>
      <c r="G8" s="62"/>
      <c r="H8" s="62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4" ht="19.5" customHeight="1" thickBot="1" x14ac:dyDescent="0.25">
      <c r="A9" s="10" t="s">
        <v>746</v>
      </c>
      <c r="D9" s="10"/>
      <c r="F9" s="51"/>
      <c r="G9" s="52"/>
      <c r="H9" s="52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4" ht="23.25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90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4" s="91" customFormat="1" ht="11.25" customHeight="1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93" t="s">
        <v>517</v>
      </c>
      <c r="H11" s="172" t="s">
        <v>725</v>
      </c>
      <c r="I11" s="536" t="s">
        <v>254</v>
      </c>
      <c r="J11" s="535" t="s">
        <v>255</v>
      </c>
      <c r="K11" s="535" t="s">
        <v>256</v>
      </c>
      <c r="L11" s="535" t="s">
        <v>257</v>
      </c>
      <c r="M11" s="535" t="s">
        <v>804</v>
      </c>
      <c r="N11" s="623" t="s">
        <v>827</v>
      </c>
      <c r="O11" s="534" t="s">
        <v>776</v>
      </c>
      <c r="P11" s="533" t="s">
        <v>789</v>
      </c>
      <c r="Q11" s="533" t="s">
        <v>776</v>
      </c>
      <c r="R11" s="533" t="s">
        <v>776</v>
      </c>
      <c r="S11" s="533" t="s">
        <v>789</v>
      </c>
      <c r="T11" s="533" t="s">
        <v>789</v>
      </c>
      <c r="U11" s="533" t="s">
        <v>776</v>
      </c>
      <c r="V11" s="534" t="s">
        <v>777</v>
      </c>
      <c r="W11" s="533" t="s">
        <v>777</v>
      </c>
      <c r="X11" s="533" t="s">
        <v>777</v>
      </c>
      <c r="Y11" s="533" t="s">
        <v>777</v>
      </c>
      <c r="Z11" s="534" t="s">
        <v>775</v>
      </c>
      <c r="AA11" s="533" t="s">
        <v>273</v>
      </c>
      <c r="AB11" s="533" t="s">
        <v>274</v>
      </c>
      <c r="AC11" s="533" t="s">
        <v>803</v>
      </c>
      <c r="AD11" s="580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34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827</v>
      </c>
    </row>
    <row r="12" spans="1:44" ht="14.1" customHeight="1" x14ac:dyDescent="0.2">
      <c r="A12" s="161">
        <v>1</v>
      </c>
      <c r="B12" s="162">
        <v>3440</v>
      </c>
      <c r="C12" s="162">
        <v>600078078</v>
      </c>
      <c r="D12" s="162">
        <v>72743441</v>
      </c>
      <c r="E12" s="163" t="s">
        <v>81</v>
      </c>
      <c r="F12" s="162">
        <v>3111</v>
      </c>
      <c r="G12" s="164" t="s">
        <v>277</v>
      </c>
      <c r="H12" s="792" t="s">
        <v>262</v>
      </c>
      <c r="I12" s="585">
        <f>SUM(J12:L12)</f>
        <v>10318766</v>
      </c>
      <c r="J12" s="524">
        <v>7654871</v>
      </c>
      <c r="K12" s="781">
        <f>ROUND(J12*33.8%,0)</f>
        <v>2587346</v>
      </c>
      <c r="L12" s="781">
        <f>ROUND(J12*1%,0)</f>
        <v>76549</v>
      </c>
      <c r="M12" s="781">
        <v>0</v>
      </c>
      <c r="N12" s="708">
        <v>12.4</v>
      </c>
      <c r="O12" s="577">
        <f>V12*-1</f>
        <v>-120000</v>
      </c>
      <c r="P12" s="578">
        <v>0</v>
      </c>
      <c r="Q12" s="578">
        <v>0</v>
      </c>
      <c r="R12" s="578">
        <v>0</v>
      </c>
      <c r="S12" s="578">
        <v>0</v>
      </c>
      <c r="T12" s="578">
        <v>0</v>
      </c>
      <c r="U12" s="578">
        <f>O12+P12+Q12+R12+S12+T12</f>
        <v>-120000</v>
      </c>
      <c r="V12" s="578">
        <v>120000</v>
      </c>
      <c r="W12" s="578">
        <v>0</v>
      </c>
      <c r="X12" s="578">
        <v>0</v>
      </c>
      <c r="Y12" s="578">
        <f>V12+W12+X12</f>
        <v>120000</v>
      </c>
      <c r="Z12" s="578">
        <f>U12+Y12</f>
        <v>0</v>
      </c>
      <c r="AA12" s="581">
        <f>ROUND((U12+Y12)*33.8%,0)</f>
        <v>0</v>
      </c>
      <c r="AB12" s="581">
        <f>ROUND(U12*1%,0)</f>
        <v>-1200</v>
      </c>
      <c r="AC12" s="578">
        <v>0</v>
      </c>
      <c r="AD12" s="622">
        <f>Z12+AA12+AB12+AC12</f>
        <v>-1200</v>
      </c>
      <c r="AE12" s="624">
        <v>0</v>
      </c>
      <c r="AF12" s="525">
        <v>0</v>
      </c>
      <c r="AG12" s="525">
        <v>0</v>
      </c>
      <c r="AH12" s="525">
        <v>0</v>
      </c>
      <c r="AI12" s="525">
        <v>0</v>
      </c>
      <c r="AJ12" s="525">
        <v>0</v>
      </c>
      <c r="AK12" s="625">
        <f>SUM(AE12:AJ12)</f>
        <v>0</v>
      </c>
      <c r="AL12" s="577">
        <f>I12+AD12</f>
        <v>10317566</v>
      </c>
      <c r="AM12" s="578">
        <f>J12+U12</f>
        <v>7534871</v>
      </c>
      <c r="AN12" s="578">
        <f>Y12</f>
        <v>120000</v>
      </c>
      <c r="AO12" s="578">
        <f t="shared" ref="AO12:AQ13" si="0">K12+AA12</f>
        <v>2587346</v>
      </c>
      <c r="AP12" s="578">
        <f t="shared" si="0"/>
        <v>75349</v>
      </c>
      <c r="AQ12" s="578">
        <f t="shared" si="0"/>
        <v>0</v>
      </c>
      <c r="AR12" s="582">
        <f>N12+AK12</f>
        <v>12.4</v>
      </c>
    </row>
    <row r="13" spans="1:44" x14ac:dyDescent="0.2">
      <c r="A13" s="136">
        <v>1</v>
      </c>
      <c r="B13" s="137">
        <v>3440</v>
      </c>
      <c r="C13" s="137">
        <v>600078078</v>
      </c>
      <c r="D13" s="137">
        <v>72743441</v>
      </c>
      <c r="E13" s="135" t="s">
        <v>81</v>
      </c>
      <c r="F13" s="137">
        <v>3111</v>
      </c>
      <c r="G13" s="138" t="s">
        <v>278</v>
      </c>
      <c r="H13" s="563" t="s">
        <v>263</v>
      </c>
      <c r="I13" s="586">
        <f>SUM(J13:L13)</f>
        <v>0</v>
      </c>
      <c r="J13" s="490">
        <v>0</v>
      </c>
      <c r="K13" s="431">
        <f>ROUND(J13*33.8%,0)</f>
        <v>0</v>
      </c>
      <c r="L13" s="431">
        <f>ROUND(J13*1%,0)</f>
        <v>0</v>
      </c>
      <c r="M13" s="431">
        <v>0</v>
      </c>
      <c r="N13" s="631">
        <v>0</v>
      </c>
      <c r="O13" s="440">
        <f>V13*-1</f>
        <v>0</v>
      </c>
      <c r="P13" s="325">
        <v>948029</v>
      </c>
      <c r="Q13" s="325">
        <v>0</v>
      </c>
      <c r="R13" s="325">
        <v>0</v>
      </c>
      <c r="S13" s="325">
        <v>0</v>
      </c>
      <c r="T13" s="325">
        <v>0</v>
      </c>
      <c r="U13" s="492">
        <f>O13+P13+Q13+R13+S13+T13</f>
        <v>948029</v>
      </c>
      <c r="V13" s="325">
        <v>0</v>
      </c>
      <c r="W13" s="325">
        <v>0</v>
      </c>
      <c r="X13" s="325">
        <v>0</v>
      </c>
      <c r="Y13" s="492">
        <f>V13+W13+X13</f>
        <v>0</v>
      </c>
      <c r="Z13" s="492">
        <f>U13+Y13</f>
        <v>948029</v>
      </c>
      <c r="AA13" s="494">
        <f>ROUND((U13+Y13)*33.8%,0)</f>
        <v>320434</v>
      </c>
      <c r="AB13" s="55">
        <f>ROUND(U13*1%,0)</f>
        <v>9480</v>
      </c>
      <c r="AC13" s="492">
        <v>0</v>
      </c>
      <c r="AD13" s="789">
        <f>Z13+AA13+AB13+AC13</f>
        <v>1277943</v>
      </c>
      <c r="AE13" s="715">
        <v>0</v>
      </c>
      <c r="AF13" s="326">
        <v>2.39</v>
      </c>
      <c r="AG13" s="326">
        <v>0</v>
      </c>
      <c r="AH13" s="326">
        <v>0</v>
      </c>
      <c r="AI13" s="326">
        <v>0</v>
      </c>
      <c r="AJ13" s="326">
        <v>0</v>
      </c>
      <c r="AK13" s="626">
        <f>SUM(AE13:AJ13)</f>
        <v>2.39</v>
      </c>
      <c r="AL13" s="493">
        <f>I13+AD13</f>
        <v>1277943</v>
      </c>
      <c r="AM13" s="492">
        <f>J13+U13</f>
        <v>948029</v>
      </c>
      <c r="AN13" s="492">
        <f>Y13</f>
        <v>0</v>
      </c>
      <c r="AO13" s="492">
        <f t="shared" si="0"/>
        <v>320434</v>
      </c>
      <c r="AP13" s="492">
        <f t="shared" si="0"/>
        <v>9480</v>
      </c>
      <c r="AQ13" s="492">
        <f t="shared" si="0"/>
        <v>0</v>
      </c>
      <c r="AR13" s="491">
        <f>N13+AK13</f>
        <v>2.39</v>
      </c>
    </row>
    <row r="14" spans="1:44" x14ac:dyDescent="0.2">
      <c r="A14" s="107">
        <v>1</v>
      </c>
      <c r="B14" s="15">
        <v>3440</v>
      </c>
      <c r="C14" s="15">
        <v>600078078</v>
      </c>
      <c r="D14" s="15">
        <v>72743441</v>
      </c>
      <c r="E14" s="116" t="s">
        <v>82</v>
      </c>
      <c r="F14" s="15"/>
      <c r="G14" s="106"/>
      <c r="H14" s="560"/>
      <c r="I14" s="793">
        <f t="shared" ref="I14:AR14" si="1">SUM(I12:I13)</f>
        <v>10318766</v>
      </c>
      <c r="J14" s="341">
        <f t="shared" si="1"/>
        <v>7654871</v>
      </c>
      <c r="K14" s="341">
        <f t="shared" si="1"/>
        <v>2587346</v>
      </c>
      <c r="L14" s="341">
        <f t="shared" si="1"/>
        <v>76549</v>
      </c>
      <c r="M14" s="341">
        <f t="shared" si="1"/>
        <v>0</v>
      </c>
      <c r="N14" s="36">
        <f t="shared" si="1"/>
        <v>12.4</v>
      </c>
      <c r="O14" s="345">
        <f t="shared" si="1"/>
        <v>-120000</v>
      </c>
      <c r="P14" s="341">
        <f t="shared" si="1"/>
        <v>948029</v>
      </c>
      <c r="Q14" s="341">
        <f t="shared" si="1"/>
        <v>0</v>
      </c>
      <c r="R14" s="341">
        <f t="shared" si="1"/>
        <v>0</v>
      </c>
      <c r="S14" s="341">
        <f t="shared" si="1"/>
        <v>0</v>
      </c>
      <c r="T14" s="341">
        <f t="shared" si="1"/>
        <v>0</v>
      </c>
      <c r="U14" s="341">
        <f t="shared" si="1"/>
        <v>828029</v>
      </c>
      <c r="V14" s="341">
        <f t="shared" si="1"/>
        <v>120000</v>
      </c>
      <c r="W14" s="341">
        <f t="shared" si="1"/>
        <v>0</v>
      </c>
      <c r="X14" s="341">
        <f t="shared" si="1"/>
        <v>0</v>
      </c>
      <c r="Y14" s="341">
        <f t="shared" si="1"/>
        <v>120000</v>
      </c>
      <c r="Z14" s="341">
        <f t="shared" si="1"/>
        <v>948029</v>
      </c>
      <c r="AA14" s="341">
        <f t="shared" si="1"/>
        <v>320434</v>
      </c>
      <c r="AB14" s="341">
        <f t="shared" si="1"/>
        <v>8280</v>
      </c>
      <c r="AC14" s="341">
        <f t="shared" si="1"/>
        <v>0</v>
      </c>
      <c r="AD14" s="798">
        <f t="shared" si="1"/>
        <v>1276743</v>
      </c>
      <c r="AE14" s="802">
        <f t="shared" si="1"/>
        <v>0</v>
      </c>
      <c r="AF14" s="342">
        <f t="shared" si="1"/>
        <v>2.39</v>
      </c>
      <c r="AG14" s="342">
        <f t="shared" si="1"/>
        <v>0</v>
      </c>
      <c r="AH14" s="342">
        <f t="shared" si="1"/>
        <v>0</v>
      </c>
      <c r="AI14" s="342">
        <f t="shared" si="1"/>
        <v>0</v>
      </c>
      <c r="AJ14" s="342">
        <f t="shared" si="1"/>
        <v>0</v>
      </c>
      <c r="AK14" s="36">
        <f t="shared" si="1"/>
        <v>2.39</v>
      </c>
      <c r="AL14" s="345">
        <f t="shared" si="1"/>
        <v>11595509</v>
      </c>
      <c r="AM14" s="341">
        <f t="shared" si="1"/>
        <v>8482900</v>
      </c>
      <c r="AN14" s="341">
        <f t="shared" si="1"/>
        <v>120000</v>
      </c>
      <c r="AO14" s="341">
        <f t="shared" si="1"/>
        <v>2907780</v>
      </c>
      <c r="AP14" s="341">
        <f t="shared" si="1"/>
        <v>84829</v>
      </c>
      <c r="AQ14" s="341">
        <f t="shared" si="1"/>
        <v>0</v>
      </c>
      <c r="AR14" s="342">
        <f t="shared" si="1"/>
        <v>14.790000000000001</v>
      </c>
    </row>
    <row r="15" spans="1:44" x14ac:dyDescent="0.2">
      <c r="A15" s="136">
        <v>2</v>
      </c>
      <c r="B15" s="137">
        <v>3458</v>
      </c>
      <c r="C15" s="137">
        <v>600029069</v>
      </c>
      <c r="D15" s="137">
        <v>75121557</v>
      </c>
      <c r="E15" s="135" t="s">
        <v>83</v>
      </c>
      <c r="F15" s="137">
        <v>3233</v>
      </c>
      <c r="G15" s="138" t="s">
        <v>283</v>
      </c>
      <c r="H15" s="563" t="s">
        <v>263</v>
      </c>
      <c r="I15" s="627">
        <f>SUM(J15:L15)</f>
        <v>1965826</v>
      </c>
      <c r="J15" s="559">
        <v>1458328</v>
      </c>
      <c r="K15" s="431">
        <f>ROUND(J15*33.8%,0)</f>
        <v>492915</v>
      </c>
      <c r="L15" s="431">
        <f>ROUND(J15*1%,0)</f>
        <v>14583</v>
      </c>
      <c r="M15" s="431">
        <v>0</v>
      </c>
      <c r="N15" s="628">
        <v>2.4700000000000002</v>
      </c>
      <c r="O15" s="445">
        <f>V15*-1</f>
        <v>-60000</v>
      </c>
      <c r="P15" s="325">
        <v>0</v>
      </c>
      <c r="Q15" s="325">
        <v>0</v>
      </c>
      <c r="R15" s="325">
        <v>0</v>
      </c>
      <c r="S15" s="325">
        <v>0</v>
      </c>
      <c r="T15" s="325">
        <v>0</v>
      </c>
      <c r="U15" s="492">
        <f>O15+P15+Q15+R15+S15+T15</f>
        <v>-60000</v>
      </c>
      <c r="V15" s="325">
        <v>60000</v>
      </c>
      <c r="W15" s="325">
        <v>0</v>
      </c>
      <c r="X15" s="325">
        <v>0</v>
      </c>
      <c r="Y15" s="492">
        <f>V15+W15+X15</f>
        <v>60000</v>
      </c>
      <c r="Z15" s="492">
        <f>U15+Y15</f>
        <v>0</v>
      </c>
      <c r="AA15" s="494">
        <f>ROUND((U15+Y15)*33.8%,0)</f>
        <v>0</v>
      </c>
      <c r="AB15" s="55">
        <f>ROUND(U15*1%,0)</f>
        <v>-600</v>
      </c>
      <c r="AC15" s="492">
        <v>0</v>
      </c>
      <c r="AD15" s="789">
        <f>Z15+AA15+AB15+AC15</f>
        <v>-600</v>
      </c>
      <c r="AE15" s="715">
        <v>-0.12</v>
      </c>
      <c r="AF15" s="326">
        <v>0</v>
      </c>
      <c r="AG15" s="326">
        <v>0</v>
      </c>
      <c r="AH15" s="326">
        <v>0</v>
      </c>
      <c r="AI15" s="326">
        <v>0</v>
      </c>
      <c r="AJ15" s="326">
        <v>0</v>
      </c>
      <c r="AK15" s="626">
        <f>SUM(AE15:AJ15)</f>
        <v>-0.12</v>
      </c>
      <c r="AL15" s="493">
        <f>I15+AD15</f>
        <v>1965226</v>
      </c>
      <c r="AM15" s="492">
        <f>J15+U15</f>
        <v>1398328</v>
      </c>
      <c r="AN15" s="492">
        <f>Y15</f>
        <v>60000</v>
      </c>
      <c r="AO15" s="492">
        <f>K15+AA15</f>
        <v>492915</v>
      </c>
      <c r="AP15" s="492">
        <f>L15+AB15</f>
        <v>13983</v>
      </c>
      <c r="AQ15" s="492">
        <f>M15+AC15</f>
        <v>0</v>
      </c>
      <c r="AR15" s="491">
        <f>N15+AK15</f>
        <v>2.35</v>
      </c>
    </row>
    <row r="16" spans="1:44" x14ac:dyDescent="0.2">
      <c r="A16" s="107">
        <v>2</v>
      </c>
      <c r="B16" s="15">
        <v>3458</v>
      </c>
      <c r="C16" s="15">
        <v>600029069</v>
      </c>
      <c r="D16" s="15">
        <v>75121557</v>
      </c>
      <c r="E16" s="116" t="s">
        <v>84</v>
      </c>
      <c r="F16" s="15"/>
      <c r="G16" s="106"/>
      <c r="H16" s="560"/>
      <c r="I16" s="793">
        <f t="shared" ref="I16:AR16" si="2">SUM(I15)</f>
        <v>1965826</v>
      </c>
      <c r="J16" s="341">
        <f t="shared" si="2"/>
        <v>1458328</v>
      </c>
      <c r="K16" s="341">
        <f t="shared" si="2"/>
        <v>492915</v>
      </c>
      <c r="L16" s="341">
        <f t="shared" si="2"/>
        <v>14583</v>
      </c>
      <c r="M16" s="341">
        <f t="shared" si="2"/>
        <v>0</v>
      </c>
      <c r="N16" s="36">
        <f t="shared" si="2"/>
        <v>2.4700000000000002</v>
      </c>
      <c r="O16" s="345">
        <f t="shared" si="2"/>
        <v>-60000</v>
      </c>
      <c r="P16" s="341">
        <f t="shared" si="2"/>
        <v>0</v>
      </c>
      <c r="Q16" s="341">
        <f t="shared" si="2"/>
        <v>0</v>
      </c>
      <c r="R16" s="341">
        <f t="shared" si="2"/>
        <v>0</v>
      </c>
      <c r="S16" s="341">
        <f t="shared" si="2"/>
        <v>0</v>
      </c>
      <c r="T16" s="341">
        <f t="shared" si="2"/>
        <v>0</v>
      </c>
      <c r="U16" s="341">
        <f t="shared" si="2"/>
        <v>-60000</v>
      </c>
      <c r="V16" s="341">
        <f t="shared" si="2"/>
        <v>60000</v>
      </c>
      <c r="W16" s="341">
        <f t="shared" si="2"/>
        <v>0</v>
      </c>
      <c r="X16" s="341">
        <f t="shared" si="2"/>
        <v>0</v>
      </c>
      <c r="Y16" s="341">
        <f t="shared" si="2"/>
        <v>60000</v>
      </c>
      <c r="Z16" s="341">
        <f t="shared" si="2"/>
        <v>0</v>
      </c>
      <c r="AA16" s="341">
        <f t="shared" si="2"/>
        <v>0</v>
      </c>
      <c r="AB16" s="341">
        <f t="shared" si="2"/>
        <v>-600</v>
      </c>
      <c r="AC16" s="341">
        <f t="shared" si="2"/>
        <v>0</v>
      </c>
      <c r="AD16" s="798">
        <f t="shared" si="2"/>
        <v>-600</v>
      </c>
      <c r="AE16" s="802">
        <f t="shared" si="2"/>
        <v>-0.12</v>
      </c>
      <c r="AF16" s="342">
        <f t="shared" si="2"/>
        <v>0</v>
      </c>
      <c r="AG16" s="342">
        <f t="shared" si="2"/>
        <v>0</v>
      </c>
      <c r="AH16" s="342">
        <f t="shared" si="2"/>
        <v>0</v>
      </c>
      <c r="AI16" s="342">
        <f t="shared" si="2"/>
        <v>0</v>
      </c>
      <c r="AJ16" s="342">
        <f t="shared" si="2"/>
        <v>0</v>
      </c>
      <c r="AK16" s="36">
        <f t="shared" si="2"/>
        <v>-0.12</v>
      </c>
      <c r="AL16" s="345">
        <f t="shared" si="2"/>
        <v>1965226</v>
      </c>
      <c r="AM16" s="341">
        <f t="shared" si="2"/>
        <v>1398328</v>
      </c>
      <c r="AN16" s="341">
        <f t="shared" si="2"/>
        <v>60000</v>
      </c>
      <c r="AO16" s="341">
        <f t="shared" si="2"/>
        <v>492915</v>
      </c>
      <c r="AP16" s="341">
        <f t="shared" si="2"/>
        <v>13983</v>
      </c>
      <c r="AQ16" s="341">
        <f t="shared" si="2"/>
        <v>0</v>
      </c>
      <c r="AR16" s="342">
        <f t="shared" si="2"/>
        <v>2.35</v>
      </c>
    </row>
    <row r="17" spans="1:44" x14ac:dyDescent="0.2">
      <c r="A17" s="136">
        <v>3</v>
      </c>
      <c r="B17" s="137">
        <v>3439</v>
      </c>
      <c r="C17" s="137">
        <v>600010473</v>
      </c>
      <c r="D17" s="137">
        <v>43256791</v>
      </c>
      <c r="E17" s="135" t="s">
        <v>740</v>
      </c>
      <c r="F17" s="137">
        <v>3113</v>
      </c>
      <c r="G17" s="138" t="s">
        <v>280</v>
      </c>
      <c r="H17" s="563" t="s">
        <v>262</v>
      </c>
      <c r="I17" s="627">
        <f>SUM(J17:L17)</f>
        <v>25111750</v>
      </c>
      <c r="J17" s="559">
        <v>18628894</v>
      </c>
      <c r="K17" s="431">
        <f>ROUND(J17*33.8%,0)+1</f>
        <v>6296567</v>
      </c>
      <c r="L17" s="431">
        <f t="shared" ref="L17:L21" si="3">ROUND(J17*1%,0)</f>
        <v>186289</v>
      </c>
      <c r="M17" s="431">
        <v>0</v>
      </c>
      <c r="N17" s="628">
        <v>28.15</v>
      </c>
      <c r="O17" s="445">
        <f>V17*-1</f>
        <v>-78000</v>
      </c>
      <c r="P17" s="325">
        <v>0</v>
      </c>
      <c r="Q17" s="325">
        <v>29190</v>
      </c>
      <c r="R17" s="325">
        <v>0</v>
      </c>
      <c r="S17" s="325">
        <v>0</v>
      </c>
      <c r="T17" s="325">
        <v>0</v>
      </c>
      <c r="U17" s="492">
        <f t="shared" ref="U17:U21" si="4">O17+P17+Q17+R17+S17+T17</f>
        <v>-48810</v>
      </c>
      <c r="V17" s="325">
        <v>78000</v>
      </c>
      <c r="W17" s="325">
        <v>0</v>
      </c>
      <c r="X17" s="325">
        <v>0</v>
      </c>
      <c r="Y17" s="492">
        <f t="shared" ref="Y17:Y21" si="5">V17+W17+X17</f>
        <v>78000</v>
      </c>
      <c r="Z17" s="492">
        <f t="shared" ref="Z17:Z21" si="6">U17+Y17</f>
        <v>29190</v>
      </c>
      <c r="AA17" s="494">
        <f t="shared" ref="AA17:AA21" si="7">ROUND((U17+Y17)*33.8%,0)</f>
        <v>9866</v>
      </c>
      <c r="AB17" s="55">
        <f>ROUND(U17*1%,0)</f>
        <v>-488</v>
      </c>
      <c r="AC17" s="492">
        <v>0</v>
      </c>
      <c r="AD17" s="789">
        <f t="shared" ref="AD17:AD21" si="8">Z17+AA17+AB17+AC17</f>
        <v>38568</v>
      </c>
      <c r="AE17" s="715">
        <v>0</v>
      </c>
      <c r="AF17" s="326">
        <v>0</v>
      </c>
      <c r="AG17" s="326">
        <v>0</v>
      </c>
      <c r="AH17" s="326">
        <v>0.04</v>
      </c>
      <c r="AI17" s="326">
        <v>0</v>
      </c>
      <c r="AJ17" s="326">
        <v>0</v>
      </c>
      <c r="AK17" s="626">
        <f t="shared" ref="AK17:AK21" si="9">SUM(AE17:AJ17)</f>
        <v>0.04</v>
      </c>
      <c r="AL17" s="493">
        <f>I17+AD17</f>
        <v>25150318</v>
      </c>
      <c r="AM17" s="492">
        <f>J17+U17</f>
        <v>18580084</v>
      </c>
      <c r="AN17" s="492">
        <f t="shared" ref="AN17:AN21" si="10">Y17</f>
        <v>78000</v>
      </c>
      <c r="AO17" s="492">
        <f t="shared" ref="AO17:AQ21" si="11">K17+AA17</f>
        <v>6306433</v>
      </c>
      <c r="AP17" s="492">
        <f t="shared" si="11"/>
        <v>185801</v>
      </c>
      <c r="AQ17" s="492">
        <f t="shared" si="11"/>
        <v>0</v>
      </c>
      <c r="AR17" s="491">
        <f t="shared" ref="AR17:AR21" si="12">N17+AK17</f>
        <v>28.189999999999998</v>
      </c>
    </row>
    <row r="18" spans="1:44" x14ac:dyDescent="0.2">
      <c r="A18" s="136">
        <v>3</v>
      </c>
      <c r="B18" s="137">
        <v>3439</v>
      </c>
      <c r="C18" s="137">
        <v>600010473</v>
      </c>
      <c r="D18" s="137">
        <v>43256791</v>
      </c>
      <c r="E18" s="135" t="s">
        <v>740</v>
      </c>
      <c r="F18" s="137">
        <v>3113</v>
      </c>
      <c r="G18" s="138" t="s">
        <v>799</v>
      </c>
      <c r="H18" s="563" t="s">
        <v>262</v>
      </c>
      <c r="I18" s="627">
        <f>SUM(J18:L18)</f>
        <v>341548</v>
      </c>
      <c r="J18" s="559">
        <v>253374</v>
      </c>
      <c r="K18" s="431">
        <f t="shared" ref="K18:K21" si="13">ROUND(J18*33.8%,0)</f>
        <v>85640</v>
      </c>
      <c r="L18" s="431">
        <f t="shared" si="3"/>
        <v>2534</v>
      </c>
      <c r="M18" s="431">
        <v>0</v>
      </c>
      <c r="N18" s="628">
        <v>0.5</v>
      </c>
      <c r="O18" s="445">
        <f>V18*-1</f>
        <v>0</v>
      </c>
      <c r="P18" s="325">
        <v>0</v>
      </c>
      <c r="Q18" s="325">
        <v>0</v>
      </c>
      <c r="R18" s="325">
        <v>0</v>
      </c>
      <c r="S18" s="325">
        <v>0</v>
      </c>
      <c r="T18" s="325">
        <v>0</v>
      </c>
      <c r="U18" s="492">
        <f t="shared" si="4"/>
        <v>0</v>
      </c>
      <c r="V18" s="325">
        <v>0</v>
      </c>
      <c r="W18" s="325">
        <v>0</v>
      </c>
      <c r="X18" s="325">
        <v>0</v>
      </c>
      <c r="Y18" s="492">
        <f t="shared" si="5"/>
        <v>0</v>
      </c>
      <c r="Z18" s="492">
        <f t="shared" si="6"/>
        <v>0</v>
      </c>
      <c r="AA18" s="494">
        <f t="shared" si="7"/>
        <v>0</v>
      </c>
      <c r="AB18" s="55">
        <f>ROUND(U18*1%,0)</f>
        <v>0</v>
      </c>
      <c r="AC18" s="492">
        <v>0</v>
      </c>
      <c r="AD18" s="789">
        <f t="shared" si="8"/>
        <v>0</v>
      </c>
      <c r="AE18" s="715">
        <v>0</v>
      </c>
      <c r="AF18" s="326">
        <v>0</v>
      </c>
      <c r="AG18" s="326">
        <v>0</v>
      </c>
      <c r="AH18" s="326">
        <v>0</v>
      </c>
      <c r="AI18" s="326">
        <v>0</v>
      </c>
      <c r="AJ18" s="326">
        <v>0</v>
      </c>
      <c r="AK18" s="626">
        <f t="shared" si="9"/>
        <v>0</v>
      </c>
      <c r="AL18" s="493">
        <f>I18+AD18</f>
        <v>341548</v>
      </c>
      <c r="AM18" s="492">
        <f>J18+U18</f>
        <v>253374</v>
      </c>
      <c r="AN18" s="492">
        <f t="shared" si="10"/>
        <v>0</v>
      </c>
      <c r="AO18" s="492">
        <f t="shared" si="11"/>
        <v>85640</v>
      </c>
      <c r="AP18" s="492">
        <f t="shared" si="11"/>
        <v>2534</v>
      </c>
      <c r="AQ18" s="492">
        <f t="shared" si="11"/>
        <v>0</v>
      </c>
      <c r="AR18" s="491">
        <f t="shared" si="12"/>
        <v>0.5</v>
      </c>
    </row>
    <row r="19" spans="1:44" x14ac:dyDescent="0.2">
      <c r="A19" s="136">
        <v>3</v>
      </c>
      <c r="B19" s="137">
        <v>3439</v>
      </c>
      <c r="C19" s="137">
        <v>600010473</v>
      </c>
      <c r="D19" s="137">
        <v>43256791</v>
      </c>
      <c r="E19" s="135" t="s">
        <v>740</v>
      </c>
      <c r="F19" s="137">
        <v>3113</v>
      </c>
      <c r="G19" s="138" t="s">
        <v>278</v>
      </c>
      <c r="H19" s="563" t="s">
        <v>263</v>
      </c>
      <c r="I19" s="586">
        <f>SUM(J19:L19)</f>
        <v>0</v>
      </c>
      <c r="J19" s="490">
        <v>0</v>
      </c>
      <c r="K19" s="431">
        <f t="shared" si="13"/>
        <v>0</v>
      </c>
      <c r="L19" s="431">
        <f t="shared" si="3"/>
        <v>0</v>
      </c>
      <c r="M19" s="431">
        <v>0</v>
      </c>
      <c r="N19" s="631">
        <v>0</v>
      </c>
      <c r="O19" s="440">
        <f>V19*-1</f>
        <v>0</v>
      </c>
      <c r="P19" s="325">
        <f>6880985-475874</f>
        <v>6405111</v>
      </c>
      <c r="Q19" s="325">
        <v>0</v>
      </c>
      <c r="R19" s="325">
        <v>0</v>
      </c>
      <c r="S19" s="325">
        <v>0</v>
      </c>
      <c r="T19" s="325">
        <v>0</v>
      </c>
      <c r="U19" s="492">
        <f t="shared" si="4"/>
        <v>6405111</v>
      </c>
      <c r="V19" s="325">
        <v>0</v>
      </c>
      <c r="W19" s="325">
        <v>0</v>
      </c>
      <c r="X19" s="325">
        <v>0</v>
      </c>
      <c r="Y19" s="492">
        <f t="shared" si="5"/>
        <v>0</v>
      </c>
      <c r="Z19" s="492">
        <f t="shared" si="6"/>
        <v>6405111</v>
      </c>
      <c r="AA19" s="494">
        <f t="shared" si="7"/>
        <v>2164928</v>
      </c>
      <c r="AB19" s="55">
        <f>ROUND(U19*1%,0)</f>
        <v>64051</v>
      </c>
      <c r="AC19" s="492">
        <v>0</v>
      </c>
      <c r="AD19" s="789">
        <f t="shared" si="8"/>
        <v>8634090</v>
      </c>
      <c r="AE19" s="715">
        <v>0</v>
      </c>
      <c r="AF19" s="326">
        <f>16.59-0.82</f>
        <v>15.77</v>
      </c>
      <c r="AG19" s="326">
        <v>0</v>
      </c>
      <c r="AH19" s="326">
        <v>0</v>
      </c>
      <c r="AI19" s="326">
        <v>0</v>
      </c>
      <c r="AJ19" s="326">
        <v>0</v>
      </c>
      <c r="AK19" s="626">
        <f t="shared" si="9"/>
        <v>15.77</v>
      </c>
      <c r="AL19" s="493">
        <f>I19+AD19</f>
        <v>8634090</v>
      </c>
      <c r="AM19" s="492">
        <f>J19+U19</f>
        <v>6405111</v>
      </c>
      <c r="AN19" s="492">
        <f t="shared" si="10"/>
        <v>0</v>
      </c>
      <c r="AO19" s="492">
        <f t="shared" si="11"/>
        <v>2164928</v>
      </c>
      <c r="AP19" s="492">
        <f t="shared" si="11"/>
        <v>64051</v>
      </c>
      <c r="AQ19" s="492">
        <f t="shared" si="11"/>
        <v>0</v>
      </c>
      <c r="AR19" s="491">
        <f t="shared" si="12"/>
        <v>15.77</v>
      </c>
    </row>
    <row r="20" spans="1:44" x14ac:dyDescent="0.2">
      <c r="A20" s="136">
        <v>3</v>
      </c>
      <c r="B20" s="137">
        <v>3439</v>
      </c>
      <c r="C20" s="137">
        <v>600010473</v>
      </c>
      <c r="D20" s="137">
        <v>43256791</v>
      </c>
      <c r="E20" s="135" t="s">
        <v>740</v>
      </c>
      <c r="F20" s="137">
        <v>3143</v>
      </c>
      <c r="G20" s="138" t="s">
        <v>795</v>
      </c>
      <c r="H20" s="157" t="s">
        <v>262</v>
      </c>
      <c r="I20" s="586">
        <f>SUM(J20:L20)</f>
        <v>3534336</v>
      </c>
      <c r="J20" s="490">
        <v>2621911</v>
      </c>
      <c r="K20" s="431">
        <f t="shared" si="13"/>
        <v>886206</v>
      </c>
      <c r="L20" s="431">
        <f t="shared" si="3"/>
        <v>26219</v>
      </c>
      <c r="M20" s="431">
        <v>0</v>
      </c>
      <c r="N20" s="631">
        <v>5.03</v>
      </c>
      <c r="O20" s="440">
        <f>V20*-1</f>
        <v>-9000</v>
      </c>
      <c r="P20" s="325">
        <v>0</v>
      </c>
      <c r="Q20" s="325">
        <v>0</v>
      </c>
      <c r="R20" s="325">
        <v>0</v>
      </c>
      <c r="S20" s="325">
        <v>0</v>
      </c>
      <c r="T20" s="325">
        <v>0</v>
      </c>
      <c r="U20" s="492">
        <f t="shared" si="4"/>
        <v>-9000</v>
      </c>
      <c r="V20" s="325">
        <v>9000</v>
      </c>
      <c r="W20" s="325">
        <v>67890</v>
      </c>
      <c r="X20" s="325">
        <v>0</v>
      </c>
      <c r="Y20" s="492">
        <f t="shared" si="5"/>
        <v>76890</v>
      </c>
      <c r="Z20" s="492">
        <f t="shared" si="6"/>
        <v>67890</v>
      </c>
      <c r="AA20" s="494">
        <f t="shared" si="7"/>
        <v>22947</v>
      </c>
      <c r="AB20" s="55">
        <f>ROUND(U20*1%,0)</f>
        <v>-90</v>
      </c>
      <c r="AC20" s="492">
        <v>0</v>
      </c>
      <c r="AD20" s="789">
        <f t="shared" si="8"/>
        <v>90747</v>
      </c>
      <c r="AE20" s="715">
        <v>0</v>
      </c>
      <c r="AF20" s="326">
        <v>0</v>
      </c>
      <c r="AG20" s="326">
        <v>0</v>
      </c>
      <c r="AH20" s="326">
        <v>0</v>
      </c>
      <c r="AI20" s="326">
        <v>0</v>
      </c>
      <c r="AJ20" s="326">
        <v>0</v>
      </c>
      <c r="AK20" s="626">
        <f t="shared" si="9"/>
        <v>0</v>
      </c>
      <c r="AL20" s="493">
        <f>I20+AD20</f>
        <v>3625083</v>
      </c>
      <c r="AM20" s="492">
        <f>J20+U20</f>
        <v>2612911</v>
      </c>
      <c r="AN20" s="492">
        <f t="shared" si="10"/>
        <v>76890</v>
      </c>
      <c r="AO20" s="492">
        <f t="shared" si="11"/>
        <v>909153</v>
      </c>
      <c r="AP20" s="492">
        <f t="shared" si="11"/>
        <v>26129</v>
      </c>
      <c r="AQ20" s="492">
        <f t="shared" si="11"/>
        <v>0</v>
      </c>
      <c r="AR20" s="491">
        <f t="shared" si="12"/>
        <v>5.03</v>
      </c>
    </row>
    <row r="21" spans="1:44" x14ac:dyDescent="0.2">
      <c r="A21" s="136">
        <v>3</v>
      </c>
      <c r="B21" s="137">
        <v>3439</v>
      </c>
      <c r="C21" s="137">
        <v>600010473</v>
      </c>
      <c r="D21" s="137">
        <v>43256791</v>
      </c>
      <c r="E21" s="135" t="s">
        <v>740</v>
      </c>
      <c r="F21" s="137">
        <v>3143</v>
      </c>
      <c r="G21" s="138" t="s">
        <v>282</v>
      </c>
      <c r="H21" s="563" t="s">
        <v>263</v>
      </c>
      <c r="I21" s="586">
        <f>SUM(J21:L21)</f>
        <v>643431</v>
      </c>
      <c r="J21" s="490">
        <v>477323</v>
      </c>
      <c r="K21" s="431">
        <f t="shared" si="13"/>
        <v>161335</v>
      </c>
      <c r="L21" s="431">
        <f t="shared" si="3"/>
        <v>4773</v>
      </c>
      <c r="M21" s="431">
        <v>0</v>
      </c>
      <c r="N21" s="631">
        <v>0.89</v>
      </c>
      <c r="O21" s="440">
        <f>V21*-1</f>
        <v>-33000</v>
      </c>
      <c r="P21" s="325">
        <v>0</v>
      </c>
      <c r="Q21" s="325">
        <v>0</v>
      </c>
      <c r="R21" s="325">
        <v>0</v>
      </c>
      <c r="S21" s="325">
        <v>0</v>
      </c>
      <c r="T21" s="325">
        <v>0</v>
      </c>
      <c r="U21" s="492">
        <f t="shared" si="4"/>
        <v>-33000</v>
      </c>
      <c r="V21" s="325">
        <v>33000</v>
      </c>
      <c r="W21" s="325">
        <v>0</v>
      </c>
      <c r="X21" s="325">
        <v>0</v>
      </c>
      <c r="Y21" s="492">
        <f t="shared" si="5"/>
        <v>33000</v>
      </c>
      <c r="Z21" s="492">
        <f t="shared" si="6"/>
        <v>0</v>
      </c>
      <c r="AA21" s="494">
        <f t="shared" si="7"/>
        <v>0</v>
      </c>
      <c r="AB21" s="55">
        <f>ROUND(U21*1%,0)</f>
        <v>-330</v>
      </c>
      <c r="AC21" s="492">
        <v>0</v>
      </c>
      <c r="AD21" s="789">
        <f t="shared" si="8"/>
        <v>-330</v>
      </c>
      <c r="AE21" s="715">
        <v>-7.0000000000000007E-2</v>
      </c>
      <c r="AF21" s="326">
        <v>0</v>
      </c>
      <c r="AG21" s="326">
        <v>0</v>
      </c>
      <c r="AH21" s="326">
        <v>0</v>
      </c>
      <c r="AI21" s="326">
        <v>0</v>
      </c>
      <c r="AJ21" s="326">
        <v>0</v>
      </c>
      <c r="AK21" s="626">
        <f t="shared" si="9"/>
        <v>-7.0000000000000007E-2</v>
      </c>
      <c r="AL21" s="493">
        <f>I21+AD21</f>
        <v>643101</v>
      </c>
      <c r="AM21" s="492">
        <f>J21+U21</f>
        <v>444323</v>
      </c>
      <c r="AN21" s="492">
        <f t="shared" si="10"/>
        <v>33000</v>
      </c>
      <c r="AO21" s="492">
        <f t="shared" si="11"/>
        <v>161335</v>
      </c>
      <c r="AP21" s="492">
        <f t="shared" si="11"/>
        <v>4443</v>
      </c>
      <c r="AQ21" s="492">
        <f t="shared" si="11"/>
        <v>0</v>
      </c>
      <c r="AR21" s="491">
        <f t="shared" si="12"/>
        <v>0.82000000000000006</v>
      </c>
    </row>
    <row r="22" spans="1:44" x14ac:dyDescent="0.2">
      <c r="A22" s="107">
        <v>3</v>
      </c>
      <c r="B22" s="15">
        <v>3439</v>
      </c>
      <c r="C22" s="15">
        <v>600010473</v>
      </c>
      <c r="D22" s="15">
        <v>43256791</v>
      </c>
      <c r="E22" s="116" t="s">
        <v>85</v>
      </c>
      <c r="F22" s="15"/>
      <c r="G22" s="106"/>
      <c r="H22" s="560"/>
      <c r="I22" s="794">
        <f t="shared" ref="I22:AR22" si="14">SUM(I17:I21)</f>
        <v>29631065</v>
      </c>
      <c r="J22" s="343">
        <f t="shared" si="14"/>
        <v>21981502</v>
      </c>
      <c r="K22" s="343">
        <f t="shared" si="14"/>
        <v>7429748</v>
      </c>
      <c r="L22" s="343">
        <f t="shared" si="14"/>
        <v>219815</v>
      </c>
      <c r="M22" s="343">
        <f t="shared" si="14"/>
        <v>0</v>
      </c>
      <c r="N22" s="35">
        <f t="shared" si="14"/>
        <v>34.57</v>
      </c>
      <c r="O22" s="346">
        <f t="shared" si="14"/>
        <v>-120000</v>
      </c>
      <c r="P22" s="343">
        <f t="shared" si="14"/>
        <v>6405111</v>
      </c>
      <c r="Q22" s="343">
        <f t="shared" si="14"/>
        <v>29190</v>
      </c>
      <c r="R22" s="343">
        <f t="shared" si="14"/>
        <v>0</v>
      </c>
      <c r="S22" s="343">
        <f t="shared" si="14"/>
        <v>0</v>
      </c>
      <c r="T22" s="343">
        <f t="shared" si="14"/>
        <v>0</v>
      </c>
      <c r="U22" s="343">
        <f t="shared" si="14"/>
        <v>6314301</v>
      </c>
      <c r="V22" s="343">
        <f t="shared" si="14"/>
        <v>120000</v>
      </c>
      <c r="W22" s="343">
        <f t="shared" si="14"/>
        <v>67890</v>
      </c>
      <c r="X22" s="343">
        <f t="shared" si="14"/>
        <v>0</v>
      </c>
      <c r="Y22" s="343">
        <f t="shared" si="14"/>
        <v>187890</v>
      </c>
      <c r="Z22" s="343">
        <f t="shared" si="14"/>
        <v>6502191</v>
      </c>
      <c r="AA22" s="343">
        <f t="shared" si="14"/>
        <v>2197741</v>
      </c>
      <c r="AB22" s="343">
        <f t="shared" si="14"/>
        <v>63143</v>
      </c>
      <c r="AC22" s="343">
        <f t="shared" si="14"/>
        <v>0</v>
      </c>
      <c r="AD22" s="799">
        <f t="shared" si="14"/>
        <v>8763075</v>
      </c>
      <c r="AE22" s="803">
        <f t="shared" si="14"/>
        <v>-7.0000000000000007E-2</v>
      </c>
      <c r="AF22" s="344">
        <f t="shared" si="14"/>
        <v>15.77</v>
      </c>
      <c r="AG22" s="344">
        <f t="shared" si="14"/>
        <v>0</v>
      </c>
      <c r="AH22" s="344">
        <f t="shared" si="14"/>
        <v>0.04</v>
      </c>
      <c r="AI22" s="344">
        <f t="shared" si="14"/>
        <v>0</v>
      </c>
      <c r="AJ22" s="344">
        <f t="shared" si="14"/>
        <v>0</v>
      </c>
      <c r="AK22" s="35">
        <f t="shared" si="14"/>
        <v>15.739999999999998</v>
      </c>
      <c r="AL22" s="346">
        <f t="shared" si="14"/>
        <v>38394140</v>
      </c>
      <c r="AM22" s="343">
        <f t="shared" si="14"/>
        <v>28295803</v>
      </c>
      <c r="AN22" s="343">
        <f t="shared" si="14"/>
        <v>187890</v>
      </c>
      <c r="AO22" s="343">
        <f t="shared" si="14"/>
        <v>9627489</v>
      </c>
      <c r="AP22" s="343">
        <f t="shared" si="14"/>
        <v>282958</v>
      </c>
      <c r="AQ22" s="343">
        <f t="shared" si="14"/>
        <v>0</v>
      </c>
      <c r="AR22" s="344">
        <f t="shared" si="14"/>
        <v>50.309999999999995</v>
      </c>
    </row>
    <row r="23" spans="1:44" x14ac:dyDescent="0.2">
      <c r="A23" s="136">
        <v>4</v>
      </c>
      <c r="B23" s="137">
        <v>3438</v>
      </c>
      <c r="C23" s="137">
        <v>600078493</v>
      </c>
      <c r="D23" s="137">
        <v>43257089</v>
      </c>
      <c r="E23" s="135" t="s">
        <v>86</v>
      </c>
      <c r="F23" s="137">
        <v>3113</v>
      </c>
      <c r="G23" s="138" t="s">
        <v>280</v>
      </c>
      <c r="H23" s="563" t="s">
        <v>262</v>
      </c>
      <c r="I23" s="627">
        <f>SUM(J23:L23)</f>
        <v>28756912</v>
      </c>
      <c r="J23" s="559">
        <v>21333020</v>
      </c>
      <c r="K23" s="431">
        <f t="shared" ref="K23:K26" si="15">ROUND(J23*33.8%,0)</f>
        <v>7210561</v>
      </c>
      <c r="L23" s="431">
        <f>ROUND(J23*1%,0)+1</f>
        <v>213331</v>
      </c>
      <c r="M23" s="431">
        <v>0</v>
      </c>
      <c r="N23" s="628">
        <v>29.46</v>
      </c>
      <c r="O23" s="445">
        <f>V23*-1</f>
        <v>-12000</v>
      </c>
      <c r="P23" s="325">
        <v>0</v>
      </c>
      <c r="Q23" s="325">
        <v>0</v>
      </c>
      <c r="R23" s="325">
        <v>0</v>
      </c>
      <c r="S23" s="325">
        <v>0</v>
      </c>
      <c r="T23" s="325">
        <v>0</v>
      </c>
      <c r="U23" s="492">
        <f t="shared" ref="U23:U26" si="16">O23+P23+Q23+R23+S23+T23</f>
        <v>-12000</v>
      </c>
      <c r="V23" s="325">
        <v>12000</v>
      </c>
      <c r="W23" s="325">
        <v>129270</v>
      </c>
      <c r="X23" s="325">
        <v>0</v>
      </c>
      <c r="Y23" s="492">
        <f t="shared" ref="Y23:Y26" si="17">V23+W23+X23</f>
        <v>141270</v>
      </c>
      <c r="Z23" s="492">
        <f t="shared" ref="Z23:Z26" si="18">U23+Y23</f>
        <v>129270</v>
      </c>
      <c r="AA23" s="494">
        <f t="shared" ref="AA23:AA26" si="19">ROUND((U23+Y23)*33.8%,0)</f>
        <v>43693</v>
      </c>
      <c r="AB23" s="55">
        <f>ROUND(U23*1%,0)</f>
        <v>-120</v>
      </c>
      <c r="AC23" s="492">
        <v>0</v>
      </c>
      <c r="AD23" s="789">
        <f t="shared" ref="AD23:AD26" si="20">Z23+AA23+AB23+AC23</f>
        <v>172843</v>
      </c>
      <c r="AE23" s="715">
        <v>0</v>
      </c>
      <c r="AF23" s="326">
        <v>0</v>
      </c>
      <c r="AG23" s="326">
        <v>0</v>
      </c>
      <c r="AH23" s="326">
        <v>0</v>
      </c>
      <c r="AI23" s="326">
        <v>0</v>
      </c>
      <c r="AJ23" s="326">
        <v>0</v>
      </c>
      <c r="AK23" s="626">
        <f t="shared" ref="AK23:AK26" si="21">SUM(AE23:AJ23)</f>
        <v>0</v>
      </c>
      <c r="AL23" s="493">
        <f>I23+AD23</f>
        <v>28929755</v>
      </c>
      <c r="AM23" s="492">
        <f>J23+U23</f>
        <v>21321020</v>
      </c>
      <c r="AN23" s="492">
        <f t="shared" ref="AN23:AN26" si="22">Y23</f>
        <v>141270</v>
      </c>
      <c r="AO23" s="492">
        <f t="shared" ref="AO23:AQ26" si="23">K23+AA23</f>
        <v>7254254</v>
      </c>
      <c r="AP23" s="492">
        <f t="shared" si="23"/>
        <v>213211</v>
      </c>
      <c r="AQ23" s="492">
        <f t="shared" si="23"/>
        <v>0</v>
      </c>
      <c r="AR23" s="491">
        <f t="shared" ref="AR23:AR26" si="24">N23+AK23</f>
        <v>29.46</v>
      </c>
    </row>
    <row r="24" spans="1:44" x14ac:dyDescent="0.2">
      <c r="A24" s="136">
        <v>4</v>
      </c>
      <c r="B24" s="137">
        <v>3438</v>
      </c>
      <c r="C24" s="137">
        <v>600078493</v>
      </c>
      <c r="D24" s="137">
        <v>43257089</v>
      </c>
      <c r="E24" s="135" t="s">
        <v>86</v>
      </c>
      <c r="F24" s="137">
        <v>3113</v>
      </c>
      <c r="G24" s="138" t="s">
        <v>799</v>
      </c>
      <c r="H24" s="563" t="s">
        <v>262</v>
      </c>
      <c r="I24" s="627">
        <f>SUM(J24:L24)</f>
        <v>782302</v>
      </c>
      <c r="J24" s="559">
        <v>580343</v>
      </c>
      <c r="K24" s="431">
        <f t="shared" si="15"/>
        <v>196156</v>
      </c>
      <c r="L24" s="431">
        <f t="shared" ref="L24:L26" si="25">ROUND(J24*1%,0)</f>
        <v>5803</v>
      </c>
      <c r="M24" s="431">
        <v>0</v>
      </c>
      <c r="N24" s="628">
        <v>1.1000000000000001</v>
      </c>
      <c r="O24" s="445">
        <f>V24*-1</f>
        <v>0</v>
      </c>
      <c r="P24" s="325">
        <v>0</v>
      </c>
      <c r="Q24" s="325">
        <v>0</v>
      </c>
      <c r="R24" s="325">
        <v>0</v>
      </c>
      <c r="S24" s="325">
        <v>0</v>
      </c>
      <c r="T24" s="325">
        <v>0</v>
      </c>
      <c r="U24" s="492">
        <f t="shared" si="16"/>
        <v>0</v>
      </c>
      <c r="V24" s="325">
        <v>0</v>
      </c>
      <c r="W24" s="325">
        <v>0</v>
      </c>
      <c r="X24" s="325">
        <v>0</v>
      </c>
      <c r="Y24" s="492">
        <f t="shared" si="17"/>
        <v>0</v>
      </c>
      <c r="Z24" s="492">
        <f t="shared" si="18"/>
        <v>0</v>
      </c>
      <c r="AA24" s="494">
        <f t="shared" si="19"/>
        <v>0</v>
      </c>
      <c r="AB24" s="55">
        <f>ROUND(U24*1%,0)</f>
        <v>0</v>
      </c>
      <c r="AC24" s="492">
        <v>0</v>
      </c>
      <c r="AD24" s="789">
        <f t="shared" si="20"/>
        <v>0</v>
      </c>
      <c r="AE24" s="715">
        <v>0</v>
      </c>
      <c r="AF24" s="326">
        <v>0</v>
      </c>
      <c r="AG24" s="326">
        <v>0</v>
      </c>
      <c r="AH24" s="326">
        <v>0</v>
      </c>
      <c r="AI24" s="326">
        <v>0</v>
      </c>
      <c r="AJ24" s="326">
        <v>0</v>
      </c>
      <c r="AK24" s="626">
        <f t="shared" si="21"/>
        <v>0</v>
      </c>
      <c r="AL24" s="493">
        <f>I24+AD24</f>
        <v>782302</v>
      </c>
      <c r="AM24" s="492">
        <f>J24+U24</f>
        <v>580343</v>
      </c>
      <c r="AN24" s="492">
        <f t="shared" si="22"/>
        <v>0</v>
      </c>
      <c r="AO24" s="492">
        <f t="shared" si="23"/>
        <v>196156</v>
      </c>
      <c r="AP24" s="492">
        <f t="shared" si="23"/>
        <v>5803</v>
      </c>
      <c r="AQ24" s="492">
        <f t="shared" si="23"/>
        <v>0</v>
      </c>
      <c r="AR24" s="491">
        <f t="shared" si="24"/>
        <v>1.1000000000000001</v>
      </c>
    </row>
    <row r="25" spans="1:44" x14ac:dyDescent="0.2">
      <c r="A25" s="136">
        <v>4</v>
      </c>
      <c r="B25" s="137">
        <v>3438</v>
      </c>
      <c r="C25" s="137">
        <v>600078493</v>
      </c>
      <c r="D25" s="137">
        <v>43257089</v>
      </c>
      <c r="E25" s="135" t="s">
        <v>86</v>
      </c>
      <c r="F25" s="137">
        <v>3113</v>
      </c>
      <c r="G25" s="138" t="s">
        <v>278</v>
      </c>
      <c r="H25" s="563" t="s">
        <v>263</v>
      </c>
      <c r="I25" s="586">
        <f>SUM(J25:L25)</f>
        <v>0</v>
      </c>
      <c r="J25" s="490">
        <v>0</v>
      </c>
      <c r="K25" s="431">
        <f t="shared" si="15"/>
        <v>0</v>
      </c>
      <c r="L25" s="431">
        <f t="shared" si="25"/>
        <v>0</v>
      </c>
      <c r="M25" s="431">
        <v>0</v>
      </c>
      <c r="N25" s="631">
        <v>0</v>
      </c>
      <c r="O25" s="440">
        <f>V25*-1</f>
        <v>0</v>
      </c>
      <c r="P25" s="325">
        <f>3799551-16535</f>
        <v>3783016</v>
      </c>
      <c r="Q25" s="325">
        <v>0</v>
      </c>
      <c r="R25" s="325">
        <v>0</v>
      </c>
      <c r="S25" s="325">
        <v>0</v>
      </c>
      <c r="T25" s="325">
        <v>0</v>
      </c>
      <c r="U25" s="492">
        <f t="shared" si="16"/>
        <v>3783016</v>
      </c>
      <c r="V25" s="325">
        <v>0</v>
      </c>
      <c r="W25" s="325">
        <v>0</v>
      </c>
      <c r="X25" s="325">
        <v>0</v>
      </c>
      <c r="Y25" s="492">
        <f t="shared" si="17"/>
        <v>0</v>
      </c>
      <c r="Z25" s="492">
        <f t="shared" si="18"/>
        <v>3783016</v>
      </c>
      <c r="AA25" s="494">
        <f t="shared" si="19"/>
        <v>1278659</v>
      </c>
      <c r="AB25" s="55">
        <f>ROUND(U25*1%,0)</f>
        <v>37830</v>
      </c>
      <c r="AC25" s="492">
        <v>0</v>
      </c>
      <c r="AD25" s="789">
        <f t="shared" si="20"/>
        <v>5099505</v>
      </c>
      <c r="AE25" s="715">
        <v>0</v>
      </c>
      <c r="AF25" s="326">
        <f>9.18-0.04</f>
        <v>9.14</v>
      </c>
      <c r="AG25" s="326">
        <v>0</v>
      </c>
      <c r="AH25" s="326">
        <v>0</v>
      </c>
      <c r="AI25" s="326">
        <v>0</v>
      </c>
      <c r="AJ25" s="326">
        <v>0</v>
      </c>
      <c r="AK25" s="626">
        <f t="shared" si="21"/>
        <v>9.14</v>
      </c>
      <c r="AL25" s="493">
        <f>I25+AD25</f>
        <v>5099505</v>
      </c>
      <c r="AM25" s="492">
        <f>J25+U25</f>
        <v>3783016</v>
      </c>
      <c r="AN25" s="492">
        <f t="shared" si="22"/>
        <v>0</v>
      </c>
      <c r="AO25" s="492">
        <f t="shared" si="23"/>
        <v>1278659</v>
      </c>
      <c r="AP25" s="492">
        <f t="shared" si="23"/>
        <v>37830</v>
      </c>
      <c r="AQ25" s="492">
        <f t="shared" si="23"/>
        <v>0</v>
      </c>
      <c r="AR25" s="491">
        <f t="shared" si="24"/>
        <v>9.14</v>
      </c>
    </row>
    <row r="26" spans="1:44" x14ac:dyDescent="0.2">
      <c r="A26" s="136">
        <v>4</v>
      </c>
      <c r="B26" s="137">
        <v>3438</v>
      </c>
      <c r="C26" s="137">
        <v>600078493</v>
      </c>
      <c r="D26" s="137">
        <v>43257089</v>
      </c>
      <c r="E26" s="135" t="s">
        <v>86</v>
      </c>
      <c r="F26" s="137">
        <v>3143</v>
      </c>
      <c r="G26" s="138" t="s">
        <v>795</v>
      </c>
      <c r="H26" s="157" t="s">
        <v>262</v>
      </c>
      <c r="I26" s="586">
        <f>SUM(J26:L26)</f>
        <v>2062732</v>
      </c>
      <c r="J26" s="490">
        <v>1530217</v>
      </c>
      <c r="K26" s="431">
        <f t="shared" si="15"/>
        <v>517213</v>
      </c>
      <c r="L26" s="431">
        <f t="shared" si="25"/>
        <v>15302</v>
      </c>
      <c r="M26" s="431">
        <v>0</v>
      </c>
      <c r="N26" s="631">
        <v>2.66</v>
      </c>
      <c r="O26" s="440">
        <f>V26*-1</f>
        <v>-3000</v>
      </c>
      <c r="P26" s="325">
        <v>0</v>
      </c>
      <c r="Q26" s="325">
        <v>0</v>
      </c>
      <c r="R26" s="325">
        <v>0</v>
      </c>
      <c r="S26" s="325">
        <v>0</v>
      </c>
      <c r="T26" s="325">
        <v>0</v>
      </c>
      <c r="U26" s="492">
        <f t="shared" si="16"/>
        <v>-3000</v>
      </c>
      <c r="V26" s="325">
        <v>3000</v>
      </c>
      <c r="W26" s="325">
        <v>0</v>
      </c>
      <c r="X26" s="325">
        <v>0</v>
      </c>
      <c r="Y26" s="492">
        <f t="shared" si="17"/>
        <v>3000</v>
      </c>
      <c r="Z26" s="492">
        <f t="shared" si="18"/>
        <v>0</v>
      </c>
      <c r="AA26" s="494">
        <f t="shared" si="19"/>
        <v>0</v>
      </c>
      <c r="AB26" s="55">
        <f>ROUND(U26*1%,0)</f>
        <v>-30</v>
      </c>
      <c r="AC26" s="492">
        <v>0</v>
      </c>
      <c r="AD26" s="789">
        <f t="shared" si="20"/>
        <v>-30</v>
      </c>
      <c r="AE26" s="715">
        <v>0</v>
      </c>
      <c r="AF26" s="326">
        <v>0</v>
      </c>
      <c r="AG26" s="326">
        <v>0</v>
      </c>
      <c r="AH26" s="326">
        <v>0</v>
      </c>
      <c r="AI26" s="326">
        <v>0</v>
      </c>
      <c r="AJ26" s="326">
        <v>0</v>
      </c>
      <c r="AK26" s="626">
        <f t="shared" si="21"/>
        <v>0</v>
      </c>
      <c r="AL26" s="493">
        <f>I26+AD26</f>
        <v>2062702</v>
      </c>
      <c r="AM26" s="492">
        <f>J26+U26</f>
        <v>1527217</v>
      </c>
      <c r="AN26" s="492">
        <f t="shared" si="22"/>
        <v>3000</v>
      </c>
      <c r="AO26" s="492">
        <f t="shared" si="23"/>
        <v>517213</v>
      </c>
      <c r="AP26" s="492">
        <f t="shared" si="23"/>
        <v>15272</v>
      </c>
      <c r="AQ26" s="492">
        <f t="shared" si="23"/>
        <v>0</v>
      </c>
      <c r="AR26" s="491">
        <f t="shared" si="24"/>
        <v>2.66</v>
      </c>
    </row>
    <row r="27" spans="1:44" x14ac:dyDescent="0.2">
      <c r="A27" s="107">
        <v>4</v>
      </c>
      <c r="B27" s="15">
        <v>3438</v>
      </c>
      <c r="C27" s="15">
        <v>600078493</v>
      </c>
      <c r="D27" s="15">
        <v>43257089</v>
      </c>
      <c r="E27" s="116" t="s">
        <v>87</v>
      </c>
      <c r="F27" s="15"/>
      <c r="G27" s="106"/>
      <c r="H27" s="560"/>
      <c r="I27" s="794">
        <f t="shared" ref="I27:AR27" si="26">SUM(I23:I26)</f>
        <v>31601946</v>
      </c>
      <c r="J27" s="343">
        <f t="shared" si="26"/>
        <v>23443580</v>
      </c>
      <c r="K27" s="343">
        <f t="shared" si="26"/>
        <v>7923930</v>
      </c>
      <c r="L27" s="343">
        <f t="shared" si="26"/>
        <v>234436</v>
      </c>
      <c r="M27" s="343">
        <f t="shared" si="26"/>
        <v>0</v>
      </c>
      <c r="N27" s="35">
        <f t="shared" si="26"/>
        <v>33.22</v>
      </c>
      <c r="O27" s="346">
        <f t="shared" si="26"/>
        <v>-15000</v>
      </c>
      <c r="P27" s="343">
        <f t="shared" si="26"/>
        <v>3783016</v>
      </c>
      <c r="Q27" s="343">
        <f t="shared" si="26"/>
        <v>0</v>
      </c>
      <c r="R27" s="343">
        <f t="shared" si="26"/>
        <v>0</v>
      </c>
      <c r="S27" s="343">
        <f t="shared" si="26"/>
        <v>0</v>
      </c>
      <c r="T27" s="343">
        <f t="shared" si="26"/>
        <v>0</v>
      </c>
      <c r="U27" s="343">
        <f t="shared" si="26"/>
        <v>3768016</v>
      </c>
      <c r="V27" s="343">
        <f t="shared" si="26"/>
        <v>15000</v>
      </c>
      <c r="W27" s="343">
        <f t="shared" si="26"/>
        <v>129270</v>
      </c>
      <c r="X27" s="343">
        <f t="shared" si="26"/>
        <v>0</v>
      </c>
      <c r="Y27" s="343">
        <f t="shared" si="26"/>
        <v>144270</v>
      </c>
      <c r="Z27" s="343">
        <f t="shared" si="26"/>
        <v>3912286</v>
      </c>
      <c r="AA27" s="343">
        <f t="shared" si="26"/>
        <v>1322352</v>
      </c>
      <c r="AB27" s="343">
        <f t="shared" si="26"/>
        <v>37680</v>
      </c>
      <c r="AC27" s="343">
        <f t="shared" si="26"/>
        <v>0</v>
      </c>
      <c r="AD27" s="799">
        <f t="shared" si="26"/>
        <v>5272318</v>
      </c>
      <c r="AE27" s="803">
        <f t="shared" si="26"/>
        <v>0</v>
      </c>
      <c r="AF27" s="344">
        <f t="shared" si="26"/>
        <v>9.14</v>
      </c>
      <c r="AG27" s="344">
        <f t="shared" si="26"/>
        <v>0</v>
      </c>
      <c r="AH27" s="344">
        <f t="shared" si="26"/>
        <v>0</v>
      </c>
      <c r="AI27" s="344">
        <f t="shared" si="26"/>
        <v>0</v>
      </c>
      <c r="AJ27" s="344">
        <f t="shared" si="26"/>
        <v>0</v>
      </c>
      <c r="AK27" s="35">
        <f t="shared" si="26"/>
        <v>9.14</v>
      </c>
      <c r="AL27" s="346">
        <f t="shared" si="26"/>
        <v>36874264</v>
      </c>
      <c r="AM27" s="343">
        <f t="shared" si="26"/>
        <v>27211596</v>
      </c>
      <c r="AN27" s="343">
        <f t="shared" si="26"/>
        <v>144270</v>
      </c>
      <c r="AO27" s="343">
        <f t="shared" si="26"/>
        <v>9246282</v>
      </c>
      <c r="AP27" s="343">
        <f t="shared" si="26"/>
        <v>272116</v>
      </c>
      <c r="AQ27" s="343">
        <f t="shared" si="26"/>
        <v>0</v>
      </c>
      <c r="AR27" s="344">
        <f t="shared" si="26"/>
        <v>42.36</v>
      </c>
    </row>
    <row r="28" spans="1:44" s="3" customFormat="1" x14ac:dyDescent="0.2">
      <c r="A28" s="136">
        <v>5</v>
      </c>
      <c r="B28" s="137">
        <v>3459</v>
      </c>
      <c r="C28" s="137">
        <v>651040264</v>
      </c>
      <c r="D28" s="137">
        <v>75121531</v>
      </c>
      <c r="E28" s="135" t="s">
        <v>88</v>
      </c>
      <c r="F28" s="137">
        <v>3231</v>
      </c>
      <c r="G28" s="138" t="s">
        <v>281</v>
      </c>
      <c r="H28" s="157" t="s">
        <v>262</v>
      </c>
      <c r="I28" s="627">
        <f>SUM(J28:L28)</f>
        <v>17939143</v>
      </c>
      <c r="J28" s="559">
        <v>13307969</v>
      </c>
      <c r="K28" s="431">
        <f>ROUND(J28*33.8%,0)</f>
        <v>4498094</v>
      </c>
      <c r="L28" s="431">
        <f>ROUND(J28*1%,0)</f>
        <v>133080</v>
      </c>
      <c r="M28" s="431">
        <v>0</v>
      </c>
      <c r="N28" s="628">
        <v>19.95</v>
      </c>
      <c r="O28" s="445">
        <f>V28*-1</f>
        <v>-12000</v>
      </c>
      <c r="P28" s="325">
        <v>0</v>
      </c>
      <c r="Q28" s="325">
        <v>0</v>
      </c>
      <c r="R28" s="325">
        <v>0</v>
      </c>
      <c r="S28" s="325">
        <v>0</v>
      </c>
      <c r="T28" s="325">
        <v>0</v>
      </c>
      <c r="U28" s="492">
        <f>O28+P28+Q28+R28+S28+T28</f>
        <v>-12000</v>
      </c>
      <c r="V28" s="325">
        <v>12000</v>
      </c>
      <c r="W28" s="325">
        <v>0</v>
      </c>
      <c r="X28" s="325">
        <v>0</v>
      </c>
      <c r="Y28" s="492">
        <f>V28+W28+X28</f>
        <v>12000</v>
      </c>
      <c r="Z28" s="492">
        <f>U28+Y28</f>
        <v>0</v>
      </c>
      <c r="AA28" s="494">
        <f>ROUND((U28+Y28)*33.8%,0)</f>
        <v>0</v>
      </c>
      <c r="AB28" s="55">
        <f>ROUND(U28*1%,0)</f>
        <v>-120</v>
      </c>
      <c r="AC28" s="492">
        <v>0</v>
      </c>
      <c r="AD28" s="789">
        <f>Z28+AA28+AB28+AC28</f>
        <v>-120</v>
      </c>
      <c r="AE28" s="715">
        <v>0</v>
      </c>
      <c r="AF28" s="326">
        <v>0</v>
      </c>
      <c r="AG28" s="326">
        <v>0</v>
      </c>
      <c r="AH28" s="326">
        <v>0</v>
      </c>
      <c r="AI28" s="326">
        <v>0</v>
      </c>
      <c r="AJ28" s="326">
        <v>0</v>
      </c>
      <c r="AK28" s="626">
        <f>SUM(AE28:AJ28)</f>
        <v>0</v>
      </c>
      <c r="AL28" s="493">
        <f>I28+AD28</f>
        <v>17939023</v>
      </c>
      <c r="AM28" s="492">
        <f>J28+U28</f>
        <v>13295969</v>
      </c>
      <c r="AN28" s="492">
        <f>Y28</f>
        <v>12000</v>
      </c>
      <c r="AO28" s="492">
        <f>K28+AA28</f>
        <v>4498094</v>
      </c>
      <c r="AP28" s="492">
        <f>L28+AB28</f>
        <v>132960</v>
      </c>
      <c r="AQ28" s="492">
        <f>M28+AC28</f>
        <v>0</v>
      </c>
      <c r="AR28" s="491">
        <f>N28+AK28</f>
        <v>19.95</v>
      </c>
    </row>
    <row r="29" spans="1:44" s="3" customFormat="1" x14ac:dyDescent="0.2">
      <c r="A29" s="107">
        <v>5</v>
      </c>
      <c r="B29" s="15">
        <v>3459</v>
      </c>
      <c r="C29" s="15">
        <v>651040264</v>
      </c>
      <c r="D29" s="15">
        <v>75121531</v>
      </c>
      <c r="E29" s="116" t="s">
        <v>89</v>
      </c>
      <c r="F29" s="15"/>
      <c r="G29" s="106"/>
      <c r="H29" s="560"/>
      <c r="I29" s="793">
        <f t="shared" ref="I29:AR29" si="27">SUM(I28)</f>
        <v>17939143</v>
      </c>
      <c r="J29" s="341">
        <f t="shared" si="27"/>
        <v>13307969</v>
      </c>
      <c r="K29" s="341">
        <f t="shared" si="27"/>
        <v>4498094</v>
      </c>
      <c r="L29" s="341">
        <f t="shared" si="27"/>
        <v>133080</v>
      </c>
      <c r="M29" s="341">
        <f t="shared" si="27"/>
        <v>0</v>
      </c>
      <c r="N29" s="36">
        <f t="shared" si="27"/>
        <v>19.95</v>
      </c>
      <c r="O29" s="345">
        <f t="shared" si="27"/>
        <v>-12000</v>
      </c>
      <c r="P29" s="341">
        <f t="shared" si="27"/>
        <v>0</v>
      </c>
      <c r="Q29" s="341">
        <f t="shared" si="27"/>
        <v>0</v>
      </c>
      <c r="R29" s="341">
        <f t="shared" si="27"/>
        <v>0</v>
      </c>
      <c r="S29" s="341">
        <f t="shared" si="27"/>
        <v>0</v>
      </c>
      <c r="T29" s="341">
        <f t="shared" si="27"/>
        <v>0</v>
      </c>
      <c r="U29" s="341">
        <f t="shared" si="27"/>
        <v>-12000</v>
      </c>
      <c r="V29" s="341">
        <f t="shared" si="27"/>
        <v>12000</v>
      </c>
      <c r="W29" s="341">
        <f t="shared" si="27"/>
        <v>0</v>
      </c>
      <c r="X29" s="341">
        <f t="shared" si="27"/>
        <v>0</v>
      </c>
      <c r="Y29" s="341">
        <f t="shared" si="27"/>
        <v>12000</v>
      </c>
      <c r="Z29" s="341">
        <f t="shared" si="27"/>
        <v>0</v>
      </c>
      <c r="AA29" s="341">
        <f t="shared" si="27"/>
        <v>0</v>
      </c>
      <c r="AB29" s="341">
        <f t="shared" si="27"/>
        <v>-120</v>
      </c>
      <c r="AC29" s="341">
        <f t="shared" si="27"/>
        <v>0</v>
      </c>
      <c r="AD29" s="798">
        <f t="shared" si="27"/>
        <v>-120</v>
      </c>
      <c r="AE29" s="802">
        <f t="shared" si="27"/>
        <v>0</v>
      </c>
      <c r="AF29" s="342">
        <f t="shared" si="27"/>
        <v>0</v>
      </c>
      <c r="AG29" s="342">
        <f t="shared" si="27"/>
        <v>0</v>
      </c>
      <c r="AH29" s="342">
        <f t="shared" si="27"/>
        <v>0</v>
      </c>
      <c r="AI29" s="342">
        <f t="shared" si="27"/>
        <v>0</v>
      </c>
      <c r="AJ29" s="342">
        <f t="shared" si="27"/>
        <v>0</v>
      </c>
      <c r="AK29" s="36">
        <f t="shared" si="27"/>
        <v>0</v>
      </c>
      <c r="AL29" s="345">
        <f t="shared" si="27"/>
        <v>17939023</v>
      </c>
      <c r="AM29" s="341">
        <f t="shared" si="27"/>
        <v>13295969</v>
      </c>
      <c r="AN29" s="341">
        <f t="shared" si="27"/>
        <v>12000</v>
      </c>
      <c r="AO29" s="341">
        <f t="shared" si="27"/>
        <v>4498094</v>
      </c>
      <c r="AP29" s="341">
        <f t="shared" si="27"/>
        <v>132960</v>
      </c>
      <c r="AQ29" s="341">
        <f t="shared" si="27"/>
        <v>0</v>
      </c>
      <c r="AR29" s="342">
        <f t="shared" si="27"/>
        <v>19.95</v>
      </c>
    </row>
    <row r="30" spans="1:44" s="3" customFormat="1" x14ac:dyDescent="0.2">
      <c r="A30" s="136">
        <v>6</v>
      </c>
      <c r="B30" s="137">
        <v>3401</v>
      </c>
      <c r="C30" s="137">
        <v>650023404</v>
      </c>
      <c r="D30" s="137">
        <v>70981477</v>
      </c>
      <c r="E30" s="135" t="s">
        <v>90</v>
      </c>
      <c r="F30" s="137">
        <v>3111</v>
      </c>
      <c r="G30" s="138" t="s">
        <v>277</v>
      </c>
      <c r="H30" s="563" t="s">
        <v>262</v>
      </c>
      <c r="I30" s="627">
        <f>SUM(J30:L30)</f>
        <v>1597013</v>
      </c>
      <c r="J30" s="559">
        <v>1184728</v>
      </c>
      <c r="K30" s="431">
        <f t="shared" ref="K30:K33" si="28">ROUND(J30*33.8%,0)</f>
        <v>400438</v>
      </c>
      <c r="L30" s="431">
        <f t="shared" ref="L30:L33" si="29">ROUND(J30*1%,0)</f>
        <v>11847</v>
      </c>
      <c r="M30" s="431">
        <v>0</v>
      </c>
      <c r="N30" s="628">
        <v>2</v>
      </c>
      <c r="O30" s="445">
        <f>V30*-1</f>
        <v>0</v>
      </c>
      <c r="P30" s="325">
        <v>0</v>
      </c>
      <c r="Q30" s="325">
        <v>0</v>
      </c>
      <c r="R30" s="325">
        <v>0</v>
      </c>
      <c r="S30" s="325">
        <v>0</v>
      </c>
      <c r="T30" s="325">
        <v>0</v>
      </c>
      <c r="U30" s="492">
        <f t="shared" ref="U30:U33" si="30">O30+P30+Q30+R30+S30+T30</f>
        <v>0</v>
      </c>
      <c r="V30" s="325">
        <v>0</v>
      </c>
      <c r="W30" s="325">
        <v>0</v>
      </c>
      <c r="X30" s="325">
        <v>0</v>
      </c>
      <c r="Y30" s="492">
        <f t="shared" ref="Y30:Y33" si="31">V30+W30+X30</f>
        <v>0</v>
      </c>
      <c r="Z30" s="492">
        <f t="shared" ref="Z30:Z33" si="32">U30+Y30</f>
        <v>0</v>
      </c>
      <c r="AA30" s="494">
        <f t="shared" ref="AA30:AA33" si="33">ROUND((U30+Y30)*33.8%,0)</f>
        <v>0</v>
      </c>
      <c r="AB30" s="55">
        <f>ROUND(U30*1%,0)</f>
        <v>0</v>
      </c>
      <c r="AC30" s="492">
        <v>0</v>
      </c>
      <c r="AD30" s="789">
        <f t="shared" ref="AD30:AD33" si="34">Z30+AA30+AB30+AC30</f>
        <v>0</v>
      </c>
      <c r="AE30" s="715">
        <v>0</v>
      </c>
      <c r="AF30" s="326">
        <v>0</v>
      </c>
      <c r="AG30" s="326">
        <v>0</v>
      </c>
      <c r="AH30" s="326">
        <v>0</v>
      </c>
      <c r="AI30" s="326">
        <v>0</v>
      </c>
      <c r="AJ30" s="326">
        <v>0</v>
      </c>
      <c r="AK30" s="626">
        <f t="shared" ref="AK30:AK33" si="35">SUM(AE30:AJ30)</f>
        <v>0</v>
      </c>
      <c r="AL30" s="493">
        <f>I30+AD30</f>
        <v>1597013</v>
      </c>
      <c r="AM30" s="492">
        <f>J30+U30</f>
        <v>1184728</v>
      </c>
      <c r="AN30" s="492">
        <f t="shared" ref="AN30:AN33" si="36">Y30</f>
        <v>0</v>
      </c>
      <c r="AO30" s="492">
        <f t="shared" ref="AO30:AQ33" si="37">K30+AA30</f>
        <v>400438</v>
      </c>
      <c r="AP30" s="492">
        <f t="shared" si="37"/>
        <v>11847</v>
      </c>
      <c r="AQ30" s="492">
        <f t="shared" si="37"/>
        <v>0</v>
      </c>
      <c r="AR30" s="491">
        <f t="shared" ref="AR30:AR33" si="38">N30+AK30</f>
        <v>2</v>
      </c>
    </row>
    <row r="31" spans="1:44" x14ac:dyDescent="0.2">
      <c r="A31" s="136">
        <v>6</v>
      </c>
      <c r="B31" s="137">
        <v>3401</v>
      </c>
      <c r="C31" s="137">
        <v>650023404</v>
      </c>
      <c r="D31" s="137">
        <v>70981477</v>
      </c>
      <c r="E31" s="135" t="s">
        <v>90</v>
      </c>
      <c r="F31" s="137">
        <v>3117</v>
      </c>
      <c r="G31" s="138" t="s">
        <v>280</v>
      </c>
      <c r="H31" s="563" t="s">
        <v>262</v>
      </c>
      <c r="I31" s="586">
        <f>SUM(J31:L31)</f>
        <v>3024564</v>
      </c>
      <c r="J31" s="490">
        <v>2243741</v>
      </c>
      <c r="K31" s="431">
        <f>ROUND(J31*33.8%,0)+1</f>
        <v>758385</v>
      </c>
      <c r="L31" s="431">
        <f>ROUND(J31*1%,0)+1</f>
        <v>22438</v>
      </c>
      <c r="M31" s="431">
        <v>0</v>
      </c>
      <c r="N31" s="631">
        <v>3.59</v>
      </c>
      <c r="O31" s="440">
        <f>V31*-1</f>
        <v>-7200</v>
      </c>
      <c r="P31" s="325">
        <v>0</v>
      </c>
      <c r="Q31" s="325">
        <v>0</v>
      </c>
      <c r="R31" s="325">
        <v>0</v>
      </c>
      <c r="S31" s="325">
        <v>0</v>
      </c>
      <c r="T31" s="325">
        <v>0</v>
      </c>
      <c r="U31" s="492">
        <f t="shared" si="30"/>
        <v>-7200</v>
      </c>
      <c r="V31" s="325">
        <v>7200</v>
      </c>
      <c r="W31" s="325">
        <v>0</v>
      </c>
      <c r="X31" s="325">
        <v>0</v>
      </c>
      <c r="Y31" s="492">
        <f t="shared" si="31"/>
        <v>7200</v>
      </c>
      <c r="Z31" s="492">
        <f t="shared" si="32"/>
        <v>0</v>
      </c>
      <c r="AA31" s="494">
        <f t="shared" si="33"/>
        <v>0</v>
      </c>
      <c r="AB31" s="55">
        <f>ROUND(U31*1%,0)</f>
        <v>-72</v>
      </c>
      <c r="AC31" s="492">
        <v>0</v>
      </c>
      <c r="AD31" s="789">
        <f t="shared" si="34"/>
        <v>-72</v>
      </c>
      <c r="AE31" s="715">
        <v>-0.01</v>
      </c>
      <c r="AF31" s="326">
        <v>0</v>
      </c>
      <c r="AG31" s="326">
        <v>0</v>
      </c>
      <c r="AH31" s="326">
        <v>0</v>
      </c>
      <c r="AI31" s="326">
        <v>0</v>
      </c>
      <c r="AJ31" s="326">
        <v>0</v>
      </c>
      <c r="AK31" s="626">
        <f t="shared" si="35"/>
        <v>-0.01</v>
      </c>
      <c r="AL31" s="493">
        <f>I31+AD31</f>
        <v>3024492</v>
      </c>
      <c r="AM31" s="492">
        <f>J31+U31</f>
        <v>2236541</v>
      </c>
      <c r="AN31" s="492">
        <f t="shared" si="36"/>
        <v>7200</v>
      </c>
      <c r="AO31" s="492">
        <f t="shared" si="37"/>
        <v>758385</v>
      </c>
      <c r="AP31" s="492">
        <f t="shared" si="37"/>
        <v>22366</v>
      </c>
      <c r="AQ31" s="492">
        <f t="shared" si="37"/>
        <v>0</v>
      </c>
      <c r="AR31" s="491">
        <f t="shared" si="38"/>
        <v>3.58</v>
      </c>
    </row>
    <row r="32" spans="1:44" x14ac:dyDescent="0.2">
      <c r="A32" s="136">
        <v>6</v>
      </c>
      <c r="B32" s="137">
        <v>3401</v>
      </c>
      <c r="C32" s="137">
        <v>650023404</v>
      </c>
      <c r="D32" s="137">
        <v>70981477</v>
      </c>
      <c r="E32" s="135" t="s">
        <v>90</v>
      </c>
      <c r="F32" s="137">
        <v>3117</v>
      </c>
      <c r="G32" s="138" t="s">
        <v>284</v>
      </c>
      <c r="H32" s="563" t="s">
        <v>263</v>
      </c>
      <c r="I32" s="586">
        <f>SUM(J32:L32)</f>
        <v>0</v>
      </c>
      <c r="J32" s="490">
        <v>0</v>
      </c>
      <c r="K32" s="431">
        <f t="shared" si="28"/>
        <v>0</v>
      </c>
      <c r="L32" s="431">
        <f t="shared" si="29"/>
        <v>0</v>
      </c>
      <c r="M32" s="431">
        <v>0</v>
      </c>
      <c r="N32" s="631">
        <v>0</v>
      </c>
      <c r="O32" s="440">
        <f>V32*-1</f>
        <v>0</v>
      </c>
      <c r="P32" s="325">
        <v>324126</v>
      </c>
      <c r="Q32" s="325">
        <v>0</v>
      </c>
      <c r="R32" s="325">
        <v>0</v>
      </c>
      <c r="S32" s="325">
        <v>0</v>
      </c>
      <c r="T32" s="325">
        <v>0</v>
      </c>
      <c r="U32" s="492">
        <f t="shared" si="30"/>
        <v>324126</v>
      </c>
      <c r="V32" s="325">
        <v>0</v>
      </c>
      <c r="W32" s="325">
        <v>0</v>
      </c>
      <c r="X32" s="325">
        <v>0</v>
      </c>
      <c r="Y32" s="492">
        <f t="shared" si="31"/>
        <v>0</v>
      </c>
      <c r="Z32" s="492">
        <f t="shared" si="32"/>
        <v>324126</v>
      </c>
      <c r="AA32" s="494">
        <f t="shared" si="33"/>
        <v>109555</v>
      </c>
      <c r="AB32" s="55">
        <f>ROUND(U32*1%,0)</f>
        <v>3241</v>
      </c>
      <c r="AC32" s="492">
        <v>0</v>
      </c>
      <c r="AD32" s="789">
        <f t="shared" si="34"/>
        <v>436922</v>
      </c>
      <c r="AE32" s="715">
        <v>0</v>
      </c>
      <c r="AF32" s="326">
        <v>0.8</v>
      </c>
      <c r="AG32" s="326">
        <v>0</v>
      </c>
      <c r="AH32" s="326">
        <v>0</v>
      </c>
      <c r="AI32" s="326">
        <v>0</v>
      </c>
      <c r="AJ32" s="326">
        <v>0</v>
      </c>
      <c r="AK32" s="626">
        <f t="shared" si="35"/>
        <v>0.8</v>
      </c>
      <c r="AL32" s="493">
        <f>I32+AD32</f>
        <v>436922</v>
      </c>
      <c r="AM32" s="492">
        <f>J32+U32</f>
        <v>324126</v>
      </c>
      <c r="AN32" s="492">
        <f t="shared" si="36"/>
        <v>0</v>
      </c>
      <c r="AO32" s="492">
        <f t="shared" si="37"/>
        <v>109555</v>
      </c>
      <c r="AP32" s="492">
        <f t="shared" si="37"/>
        <v>3241</v>
      </c>
      <c r="AQ32" s="492">
        <f t="shared" si="37"/>
        <v>0</v>
      </c>
      <c r="AR32" s="491">
        <f t="shared" si="38"/>
        <v>0.8</v>
      </c>
    </row>
    <row r="33" spans="1:44" x14ac:dyDescent="0.2">
      <c r="A33" s="136">
        <v>6</v>
      </c>
      <c r="B33" s="137">
        <v>3401</v>
      </c>
      <c r="C33" s="137">
        <v>650023404</v>
      </c>
      <c r="D33" s="137">
        <v>70981477</v>
      </c>
      <c r="E33" s="135" t="s">
        <v>90</v>
      </c>
      <c r="F33" s="137">
        <v>3143</v>
      </c>
      <c r="G33" s="138" t="s">
        <v>794</v>
      </c>
      <c r="H33" s="157" t="s">
        <v>262</v>
      </c>
      <c r="I33" s="586">
        <f>SUM(J33:L33)</f>
        <v>731335</v>
      </c>
      <c r="J33" s="490">
        <v>542534</v>
      </c>
      <c r="K33" s="431">
        <f t="shared" si="28"/>
        <v>183376</v>
      </c>
      <c r="L33" s="431">
        <f t="shared" si="29"/>
        <v>5425</v>
      </c>
      <c r="M33" s="431">
        <v>0</v>
      </c>
      <c r="N33" s="631">
        <v>0.94</v>
      </c>
      <c r="O33" s="440">
        <f>V33*-1</f>
        <v>0</v>
      </c>
      <c r="P33" s="325">
        <v>0</v>
      </c>
      <c r="Q33" s="325">
        <v>0</v>
      </c>
      <c r="R33" s="325">
        <v>0</v>
      </c>
      <c r="S33" s="325">
        <v>0</v>
      </c>
      <c r="T33" s="325">
        <v>0</v>
      </c>
      <c r="U33" s="492">
        <f t="shared" si="30"/>
        <v>0</v>
      </c>
      <c r="V33" s="325">
        <v>0</v>
      </c>
      <c r="W33" s="325">
        <v>0</v>
      </c>
      <c r="X33" s="325">
        <v>0</v>
      </c>
      <c r="Y33" s="492">
        <f t="shared" si="31"/>
        <v>0</v>
      </c>
      <c r="Z33" s="492">
        <f t="shared" si="32"/>
        <v>0</v>
      </c>
      <c r="AA33" s="494">
        <f t="shared" si="33"/>
        <v>0</v>
      </c>
      <c r="AB33" s="55">
        <f>ROUND(U33*1%,0)</f>
        <v>0</v>
      </c>
      <c r="AC33" s="492">
        <v>0</v>
      </c>
      <c r="AD33" s="789">
        <f t="shared" si="34"/>
        <v>0</v>
      </c>
      <c r="AE33" s="715">
        <v>0</v>
      </c>
      <c r="AF33" s="326">
        <v>0</v>
      </c>
      <c r="AG33" s="326">
        <v>0</v>
      </c>
      <c r="AH33" s="326">
        <v>0</v>
      </c>
      <c r="AI33" s="326">
        <v>0</v>
      </c>
      <c r="AJ33" s="326">
        <v>0</v>
      </c>
      <c r="AK33" s="626">
        <f t="shared" si="35"/>
        <v>0</v>
      </c>
      <c r="AL33" s="493">
        <f>I33+AD33</f>
        <v>731335</v>
      </c>
      <c r="AM33" s="492">
        <f>J33+U33</f>
        <v>542534</v>
      </c>
      <c r="AN33" s="492">
        <f t="shared" si="36"/>
        <v>0</v>
      </c>
      <c r="AO33" s="492">
        <f t="shared" si="37"/>
        <v>183376</v>
      </c>
      <c r="AP33" s="492">
        <f t="shared" si="37"/>
        <v>5425</v>
      </c>
      <c r="AQ33" s="492">
        <f t="shared" si="37"/>
        <v>0</v>
      </c>
      <c r="AR33" s="491">
        <f t="shared" si="38"/>
        <v>0.94</v>
      </c>
    </row>
    <row r="34" spans="1:44" x14ac:dyDescent="0.2">
      <c r="A34" s="107">
        <v>6</v>
      </c>
      <c r="B34" s="15">
        <v>3401</v>
      </c>
      <c r="C34" s="15">
        <v>650023404</v>
      </c>
      <c r="D34" s="15">
        <v>70981477</v>
      </c>
      <c r="E34" s="116" t="s">
        <v>91</v>
      </c>
      <c r="F34" s="15"/>
      <c r="G34" s="106"/>
      <c r="H34" s="560"/>
      <c r="I34" s="793">
        <f t="shared" ref="I34:AR34" si="39">SUM(I30:I33)</f>
        <v>5352912</v>
      </c>
      <c r="J34" s="341">
        <f t="shared" si="39"/>
        <v>3971003</v>
      </c>
      <c r="K34" s="341">
        <f t="shared" si="39"/>
        <v>1342199</v>
      </c>
      <c r="L34" s="341">
        <f t="shared" si="39"/>
        <v>39710</v>
      </c>
      <c r="M34" s="341">
        <f t="shared" si="39"/>
        <v>0</v>
      </c>
      <c r="N34" s="36">
        <f t="shared" si="39"/>
        <v>6.5299999999999994</v>
      </c>
      <c r="O34" s="345">
        <f t="shared" si="39"/>
        <v>-7200</v>
      </c>
      <c r="P34" s="341">
        <f t="shared" si="39"/>
        <v>324126</v>
      </c>
      <c r="Q34" s="341">
        <f t="shared" si="39"/>
        <v>0</v>
      </c>
      <c r="R34" s="341">
        <f t="shared" si="39"/>
        <v>0</v>
      </c>
      <c r="S34" s="341">
        <f t="shared" si="39"/>
        <v>0</v>
      </c>
      <c r="T34" s="341">
        <f t="shared" si="39"/>
        <v>0</v>
      </c>
      <c r="U34" s="341">
        <f t="shared" si="39"/>
        <v>316926</v>
      </c>
      <c r="V34" s="341">
        <f t="shared" si="39"/>
        <v>7200</v>
      </c>
      <c r="W34" s="341">
        <f t="shared" si="39"/>
        <v>0</v>
      </c>
      <c r="X34" s="341">
        <f t="shared" si="39"/>
        <v>0</v>
      </c>
      <c r="Y34" s="341">
        <f t="shared" si="39"/>
        <v>7200</v>
      </c>
      <c r="Z34" s="341">
        <f t="shared" si="39"/>
        <v>324126</v>
      </c>
      <c r="AA34" s="341">
        <f t="shared" si="39"/>
        <v>109555</v>
      </c>
      <c r="AB34" s="341">
        <f t="shared" si="39"/>
        <v>3169</v>
      </c>
      <c r="AC34" s="341">
        <f t="shared" si="39"/>
        <v>0</v>
      </c>
      <c r="AD34" s="798">
        <f t="shared" si="39"/>
        <v>436850</v>
      </c>
      <c r="AE34" s="802">
        <f t="shared" si="39"/>
        <v>-0.01</v>
      </c>
      <c r="AF34" s="342">
        <f t="shared" si="39"/>
        <v>0.8</v>
      </c>
      <c r="AG34" s="342">
        <f t="shared" si="39"/>
        <v>0</v>
      </c>
      <c r="AH34" s="342">
        <f t="shared" si="39"/>
        <v>0</v>
      </c>
      <c r="AI34" s="342">
        <f t="shared" si="39"/>
        <v>0</v>
      </c>
      <c r="AJ34" s="342">
        <f t="shared" si="39"/>
        <v>0</v>
      </c>
      <c r="AK34" s="36">
        <f t="shared" si="39"/>
        <v>0.79</v>
      </c>
      <c r="AL34" s="345">
        <f t="shared" si="39"/>
        <v>5789762</v>
      </c>
      <c r="AM34" s="341">
        <f t="shared" si="39"/>
        <v>4287929</v>
      </c>
      <c r="AN34" s="341">
        <f t="shared" si="39"/>
        <v>7200</v>
      </c>
      <c r="AO34" s="341">
        <f t="shared" si="39"/>
        <v>1451754</v>
      </c>
      <c r="AP34" s="341">
        <f t="shared" si="39"/>
        <v>42879</v>
      </c>
      <c r="AQ34" s="341">
        <f t="shared" si="39"/>
        <v>0</v>
      </c>
      <c r="AR34" s="342">
        <f t="shared" si="39"/>
        <v>7.32</v>
      </c>
    </row>
    <row r="35" spans="1:44" x14ac:dyDescent="0.2">
      <c r="A35" s="136">
        <v>7</v>
      </c>
      <c r="B35" s="137">
        <v>3404</v>
      </c>
      <c r="C35" s="137">
        <v>650023021</v>
      </c>
      <c r="D35" s="137">
        <v>70982597</v>
      </c>
      <c r="E35" s="135" t="s">
        <v>92</v>
      </c>
      <c r="F35" s="137">
        <v>3111</v>
      </c>
      <c r="G35" s="138" t="s">
        <v>277</v>
      </c>
      <c r="H35" s="563" t="s">
        <v>262</v>
      </c>
      <c r="I35" s="627">
        <f>SUM(J35:L35)</f>
        <v>4690965</v>
      </c>
      <c r="J35" s="559">
        <v>3479945</v>
      </c>
      <c r="K35" s="431">
        <f t="shared" ref="K35:K39" si="40">ROUND(J35*33.8%,0)</f>
        <v>1176221</v>
      </c>
      <c r="L35" s="431">
        <f t="shared" ref="L35:L39" si="41">ROUND(J35*1%,0)</f>
        <v>34799</v>
      </c>
      <c r="M35" s="431">
        <v>0</v>
      </c>
      <c r="N35" s="628">
        <v>5.9</v>
      </c>
      <c r="O35" s="445">
        <f>V35*-1</f>
        <v>-6000</v>
      </c>
      <c r="P35" s="325">
        <v>0</v>
      </c>
      <c r="Q35" s="325">
        <v>0</v>
      </c>
      <c r="R35" s="325">
        <v>0</v>
      </c>
      <c r="S35" s="325">
        <v>0</v>
      </c>
      <c r="T35" s="325">
        <v>0</v>
      </c>
      <c r="U35" s="492">
        <f t="shared" ref="U35:U39" si="42">O35+P35+Q35+R35+S35+T35</f>
        <v>-6000</v>
      </c>
      <c r="V35" s="325">
        <v>6000</v>
      </c>
      <c r="W35" s="325">
        <v>0</v>
      </c>
      <c r="X35" s="325">
        <v>0</v>
      </c>
      <c r="Y35" s="492">
        <f t="shared" ref="Y35:Y39" si="43">V35+W35+X35</f>
        <v>6000</v>
      </c>
      <c r="Z35" s="492">
        <f t="shared" ref="Z35:Z39" si="44">U35+Y35</f>
        <v>0</v>
      </c>
      <c r="AA35" s="494">
        <f t="shared" ref="AA35:AA39" si="45">ROUND((U35+Y35)*33.8%,0)</f>
        <v>0</v>
      </c>
      <c r="AB35" s="55">
        <f>ROUND(U35*1%,0)</f>
        <v>-60</v>
      </c>
      <c r="AC35" s="492">
        <v>0</v>
      </c>
      <c r="AD35" s="789">
        <f t="shared" ref="AD35:AD39" si="46">Z35+AA35+AB35+AC35</f>
        <v>-60</v>
      </c>
      <c r="AE35" s="715">
        <v>0</v>
      </c>
      <c r="AF35" s="326">
        <v>0</v>
      </c>
      <c r="AG35" s="326">
        <v>0</v>
      </c>
      <c r="AH35" s="326">
        <v>0</v>
      </c>
      <c r="AI35" s="326">
        <v>0</v>
      </c>
      <c r="AJ35" s="326">
        <v>0</v>
      </c>
      <c r="AK35" s="626">
        <f t="shared" ref="AK35:AK39" si="47">SUM(AE35:AJ35)</f>
        <v>0</v>
      </c>
      <c r="AL35" s="493">
        <f>I35+AD35</f>
        <v>4690905</v>
      </c>
      <c r="AM35" s="492">
        <f>J35+U35</f>
        <v>3473945</v>
      </c>
      <c r="AN35" s="492">
        <f t="shared" ref="AN35:AN39" si="48">Y35</f>
        <v>6000</v>
      </c>
      <c r="AO35" s="492">
        <f t="shared" ref="AO35:AQ39" si="49">K35+AA35</f>
        <v>1176221</v>
      </c>
      <c r="AP35" s="492">
        <f t="shared" si="49"/>
        <v>34739</v>
      </c>
      <c r="AQ35" s="492">
        <f t="shared" si="49"/>
        <v>0</v>
      </c>
      <c r="AR35" s="491">
        <f t="shared" ref="AR35:AR39" si="50">N35+AK35</f>
        <v>5.9</v>
      </c>
    </row>
    <row r="36" spans="1:44" x14ac:dyDescent="0.2">
      <c r="A36" s="136">
        <v>7</v>
      </c>
      <c r="B36" s="137">
        <v>3404</v>
      </c>
      <c r="C36" s="137">
        <v>650023021</v>
      </c>
      <c r="D36" s="137">
        <v>70982597</v>
      </c>
      <c r="E36" s="135" t="s">
        <v>92</v>
      </c>
      <c r="F36" s="137">
        <v>3113</v>
      </c>
      <c r="G36" s="138" t="s">
        <v>280</v>
      </c>
      <c r="H36" s="563" t="s">
        <v>262</v>
      </c>
      <c r="I36" s="586">
        <f>SUM(J36:L36)</f>
        <v>17896853</v>
      </c>
      <c r="J36" s="490">
        <v>13276597</v>
      </c>
      <c r="K36" s="431">
        <f t="shared" si="40"/>
        <v>4487490</v>
      </c>
      <c r="L36" s="431">
        <f t="shared" si="41"/>
        <v>132766</v>
      </c>
      <c r="M36" s="431">
        <v>0</v>
      </c>
      <c r="N36" s="631">
        <v>19.45</v>
      </c>
      <c r="O36" s="440">
        <f>V36*-1</f>
        <v>-24000</v>
      </c>
      <c r="P36" s="325">
        <v>0</v>
      </c>
      <c r="Q36" s="325">
        <v>27800</v>
      </c>
      <c r="R36" s="325">
        <v>0</v>
      </c>
      <c r="S36" s="325">
        <v>0</v>
      </c>
      <c r="T36" s="325">
        <v>0</v>
      </c>
      <c r="U36" s="492">
        <f t="shared" si="42"/>
        <v>3800</v>
      </c>
      <c r="V36" s="325">
        <v>24000</v>
      </c>
      <c r="W36" s="325">
        <v>0</v>
      </c>
      <c r="X36" s="325">
        <v>0</v>
      </c>
      <c r="Y36" s="492">
        <f t="shared" si="43"/>
        <v>24000</v>
      </c>
      <c r="Z36" s="492">
        <f t="shared" si="44"/>
        <v>27800</v>
      </c>
      <c r="AA36" s="494">
        <f t="shared" si="45"/>
        <v>9396</v>
      </c>
      <c r="AB36" s="55">
        <f>ROUND(U36*1%,0)</f>
        <v>38</v>
      </c>
      <c r="AC36" s="492">
        <v>0</v>
      </c>
      <c r="AD36" s="789">
        <f t="shared" si="46"/>
        <v>37234</v>
      </c>
      <c r="AE36" s="715">
        <v>-0.02</v>
      </c>
      <c r="AF36" s="326">
        <v>0</v>
      </c>
      <c r="AG36" s="326">
        <v>0</v>
      </c>
      <c r="AH36" s="326">
        <v>0.04</v>
      </c>
      <c r="AI36" s="326">
        <v>0</v>
      </c>
      <c r="AJ36" s="326">
        <v>0</v>
      </c>
      <c r="AK36" s="626">
        <f t="shared" si="47"/>
        <v>0.02</v>
      </c>
      <c r="AL36" s="493">
        <f>I36+AD36</f>
        <v>17934087</v>
      </c>
      <c r="AM36" s="492">
        <f>J36+U36</f>
        <v>13280397</v>
      </c>
      <c r="AN36" s="492">
        <f t="shared" si="48"/>
        <v>24000</v>
      </c>
      <c r="AO36" s="492">
        <f t="shared" si="49"/>
        <v>4496886</v>
      </c>
      <c r="AP36" s="492">
        <f t="shared" si="49"/>
        <v>132804</v>
      </c>
      <c r="AQ36" s="492">
        <f t="shared" si="49"/>
        <v>0</v>
      </c>
      <c r="AR36" s="491">
        <f t="shared" si="50"/>
        <v>19.47</v>
      </c>
    </row>
    <row r="37" spans="1:44" x14ac:dyDescent="0.2">
      <c r="A37" s="136">
        <v>7</v>
      </c>
      <c r="B37" s="137">
        <v>3404</v>
      </c>
      <c r="C37" s="137">
        <v>650023021</v>
      </c>
      <c r="D37" s="137">
        <v>70982597</v>
      </c>
      <c r="E37" s="135" t="s">
        <v>92</v>
      </c>
      <c r="F37" s="137">
        <v>3113</v>
      </c>
      <c r="G37" s="138" t="s">
        <v>799</v>
      </c>
      <c r="H37" s="563" t="s">
        <v>262</v>
      </c>
      <c r="I37" s="586">
        <f>SUM(J37:L37)</f>
        <v>396858</v>
      </c>
      <c r="J37" s="490">
        <v>294405</v>
      </c>
      <c r="K37" s="431">
        <f t="shared" si="40"/>
        <v>99509</v>
      </c>
      <c r="L37" s="431">
        <f t="shared" si="41"/>
        <v>2944</v>
      </c>
      <c r="M37" s="431">
        <v>0</v>
      </c>
      <c r="N37" s="631">
        <v>0.56000000000000005</v>
      </c>
      <c r="O37" s="440">
        <f>V37*-1</f>
        <v>0</v>
      </c>
      <c r="P37" s="325">
        <v>0</v>
      </c>
      <c r="Q37" s="325">
        <v>0</v>
      </c>
      <c r="R37" s="325">
        <v>0</v>
      </c>
      <c r="S37" s="325">
        <v>0</v>
      </c>
      <c r="T37" s="325">
        <v>0</v>
      </c>
      <c r="U37" s="492">
        <f t="shared" si="42"/>
        <v>0</v>
      </c>
      <c r="V37" s="325">
        <v>0</v>
      </c>
      <c r="W37" s="325">
        <v>0</v>
      </c>
      <c r="X37" s="325">
        <v>0</v>
      </c>
      <c r="Y37" s="492">
        <f t="shared" si="43"/>
        <v>0</v>
      </c>
      <c r="Z37" s="492">
        <f t="shared" si="44"/>
        <v>0</v>
      </c>
      <c r="AA37" s="494">
        <f t="shared" si="45"/>
        <v>0</v>
      </c>
      <c r="AB37" s="55">
        <f>ROUND(U37*1%,0)</f>
        <v>0</v>
      </c>
      <c r="AC37" s="492">
        <v>0</v>
      </c>
      <c r="AD37" s="789">
        <f t="shared" si="46"/>
        <v>0</v>
      </c>
      <c r="AE37" s="715">
        <v>0</v>
      </c>
      <c r="AF37" s="326">
        <v>0</v>
      </c>
      <c r="AG37" s="326">
        <v>0</v>
      </c>
      <c r="AH37" s="326">
        <v>0</v>
      </c>
      <c r="AI37" s="326">
        <v>0</v>
      </c>
      <c r="AJ37" s="326">
        <v>0</v>
      </c>
      <c r="AK37" s="626">
        <f t="shared" si="47"/>
        <v>0</v>
      </c>
      <c r="AL37" s="493">
        <f>I37+AD37</f>
        <v>396858</v>
      </c>
      <c r="AM37" s="492">
        <f>J37+U37</f>
        <v>294405</v>
      </c>
      <c r="AN37" s="492">
        <f t="shared" si="48"/>
        <v>0</v>
      </c>
      <c r="AO37" s="492">
        <f t="shared" si="49"/>
        <v>99509</v>
      </c>
      <c r="AP37" s="492">
        <f t="shared" si="49"/>
        <v>2944</v>
      </c>
      <c r="AQ37" s="492">
        <f t="shared" si="49"/>
        <v>0</v>
      </c>
      <c r="AR37" s="491">
        <f t="shared" si="50"/>
        <v>0.56000000000000005</v>
      </c>
    </row>
    <row r="38" spans="1:44" x14ac:dyDescent="0.2">
      <c r="A38" s="136">
        <v>7</v>
      </c>
      <c r="B38" s="137">
        <v>3404</v>
      </c>
      <c r="C38" s="137">
        <v>650023021</v>
      </c>
      <c r="D38" s="137">
        <v>70982597</v>
      </c>
      <c r="E38" s="135" t="s">
        <v>92</v>
      </c>
      <c r="F38" s="137">
        <v>3113</v>
      </c>
      <c r="G38" s="138" t="s">
        <v>278</v>
      </c>
      <c r="H38" s="563" t="s">
        <v>263</v>
      </c>
      <c r="I38" s="586">
        <f>SUM(J38:L38)</f>
        <v>0</v>
      </c>
      <c r="J38" s="490">
        <v>0</v>
      </c>
      <c r="K38" s="431">
        <f t="shared" si="40"/>
        <v>0</v>
      </c>
      <c r="L38" s="431">
        <f t="shared" si="41"/>
        <v>0</v>
      </c>
      <c r="M38" s="431">
        <v>0</v>
      </c>
      <c r="N38" s="631">
        <v>0</v>
      </c>
      <c r="O38" s="440">
        <f>V38*-1</f>
        <v>0</v>
      </c>
      <c r="P38" s="325">
        <f>4706951-286502</f>
        <v>4420449</v>
      </c>
      <c r="Q38" s="325">
        <v>0</v>
      </c>
      <c r="R38" s="325">
        <v>0</v>
      </c>
      <c r="S38" s="325">
        <v>0</v>
      </c>
      <c r="T38" s="325">
        <v>0</v>
      </c>
      <c r="U38" s="492">
        <f t="shared" si="42"/>
        <v>4420449</v>
      </c>
      <c r="V38" s="325">
        <v>0</v>
      </c>
      <c r="W38" s="325">
        <v>0</v>
      </c>
      <c r="X38" s="325">
        <v>0</v>
      </c>
      <c r="Y38" s="492">
        <f t="shared" si="43"/>
        <v>0</v>
      </c>
      <c r="Z38" s="492">
        <f t="shared" si="44"/>
        <v>4420449</v>
      </c>
      <c r="AA38" s="494">
        <f t="shared" si="45"/>
        <v>1494112</v>
      </c>
      <c r="AB38" s="55">
        <f>ROUND(U38*1%,0)</f>
        <v>44204</v>
      </c>
      <c r="AC38" s="492">
        <v>0</v>
      </c>
      <c r="AD38" s="789">
        <f t="shared" si="46"/>
        <v>5958765</v>
      </c>
      <c r="AE38" s="715">
        <v>0</v>
      </c>
      <c r="AF38" s="326">
        <f>11.64-0.5</f>
        <v>11.14</v>
      </c>
      <c r="AG38" s="326">
        <v>0</v>
      </c>
      <c r="AH38" s="326">
        <v>0</v>
      </c>
      <c r="AI38" s="326">
        <v>0</v>
      </c>
      <c r="AJ38" s="326">
        <v>0</v>
      </c>
      <c r="AK38" s="626">
        <f t="shared" si="47"/>
        <v>11.14</v>
      </c>
      <c r="AL38" s="493">
        <f>I38+AD38</f>
        <v>5958765</v>
      </c>
      <c r="AM38" s="492">
        <f>J38+U38</f>
        <v>4420449</v>
      </c>
      <c r="AN38" s="492">
        <f t="shared" si="48"/>
        <v>0</v>
      </c>
      <c r="AO38" s="492">
        <f t="shared" si="49"/>
        <v>1494112</v>
      </c>
      <c r="AP38" s="492">
        <f t="shared" si="49"/>
        <v>44204</v>
      </c>
      <c r="AQ38" s="492">
        <f t="shared" si="49"/>
        <v>0</v>
      </c>
      <c r="AR38" s="491">
        <f t="shared" si="50"/>
        <v>11.14</v>
      </c>
    </row>
    <row r="39" spans="1:44" s="3" customFormat="1" x14ac:dyDescent="0.2">
      <c r="A39" s="136">
        <v>7</v>
      </c>
      <c r="B39" s="137">
        <v>3404</v>
      </c>
      <c r="C39" s="137">
        <v>650023021</v>
      </c>
      <c r="D39" s="137">
        <v>70982597</v>
      </c>
      <c r="E39" s="135" t="s">
        <v>92</v>
      </c>
      <c r="F39" s="137">
        <v>3143</v>
      </c>
      <c r="G39" s="138" t="s">
        <v>794</v>
      </c>
      <c r="H39" s="157" t="s">
        <v>262</v>
      </c>
      <c r="I39" s="586">
        <f>SUM(J39:L39)</f>
        <v>2039230</v>
      </c>
      <c r="J39" s="490">
        <v>1512782</v>
      </c>
      <c r="K39" s="431">
        <f t="shared" si="40"/>
        <v>511320</v>
      </c>
      <c r="L39" s="431">
        <f t="shared" si="41"/>
        <v>15128</v>
      </c>
      <c r="M39" s="431">
        <v>0</v>
      </c>
      <c r="N39" s="631">
        <v>2.96</v>
      </c>
      <c r="O39" s="440">
        <f>V39*-1</f>
        <v>0</v>
      </c>
      <c r="P39" s="325">
        <v>0</v>
      </c>
      <c r="Q39" s="325">
        <v>0</v>
      </c>
      <c r="R39" s="325">
        <v>0</v>
      </c>
      <c r="S39" s="325">
        <v>0</v>
      </c>
      <c r="T39" s="325">
        <v>0</v>
      </c>
      <c r="U39" s="492">
        <f t="shared" si="42"/>
        <v>0</v>
      </c>
      <c r="V39" s="325">
        <v>0</v>
      </c>
      <c r="W39" s="325">
        <v>0</v>
      </c>
      <c r="X39" s="325">
        <v>0</v>
      </c>
      <c r="Y39" s="492">
        <f t="shared" si="43"/>
        <v>0</v>
      </c>
      <c r="Z39" s="492">
        <f t="shared" si="44"/>
        <v>0</v>
      </c>
      <c r="AA39" s="494">
        <f t="shared" si="45"/>
        <v>0</v>
      </c>
      <c r="AB39" s="55">
        <f>ROUND(U39*1%,0)</f>
        <v>0</v>
      </c>
      <c r="AC39" s="492">
        <v>0</v>
      </c>
      <c r="AD39" s="789">
        <f t="shared" si="46"/>
        <v>0</v>
      </c>
      <c r="AE39" s="715">
        <v>0</v>
      </c>
      <c r="AF39" s="326">
        <v>0</v>
      </c>
      <c r="AG39" s="326">
        <v>0</v>
      </c>
      <c r="AH39" s="326">
        <v>0</v>
      </c>
      <c r="AI39" s="326">
        <v>0</v>
      </c>
      <c r="AJ39" s="326">
        <v>0</v>
      </c>
      <c r="AK39" s="626">
        <f t="shared" si="47"/>
        <v>0</v>
      </c>
      <c r="AL39" s="493">
        <f>I39+AD39</f>
        <v>2039230</v>
      </c>
      <c r="AM39" s="492">
        <f>J39+U39</f>
        <v>1512782</v>
      </c>
      <c r="AN39" s="492">
        <f t="shared" si="48"/>
        <v>0</v>
      </c>
      <c r="AO39" s="492">
        <f t="shared" si="49"/>
        <v>511320</v>
      </c>
      <c r="AP39" s="492">
        <f t="shared" si="49"/>
        <v>15128</v>
      </c>
      <c r="AQ39" s="492">
        <f t="shared" si="49"/>
        <v>0</v>
      </c>
      <c r="AR39" s="491">
        <f t="shared" si="50"/>
        <v>2.96</v>
      </c>
    </row>
    <row r="40" spans="1:44" x14ac:dyDescent="0.2">
      <c r="A40" s="107">
        <v>7</v>
      </c>
      <c r="B40" s="15">
        <v>3404</v>
      </c>
      <c r="C40" s="15">
        <v>650023021</v>
      </c>
      <c r="D40" s="15">
        <v>70982597</v>
      </c>
      <c r="E40" s="116" t="s">
        <v>93</v>
      </c>
      <c r="F40" s="15"/>
      <c r="G40" s="106"/>
      <c r="H40" s="560"/>
      <c r="I40" s="793">
        <f t="shared" ref="I40:AR40" si="51">SUM(I35:I39)</f>
        <v>25023906</v>
      </c>
      <c r="J40" s="341">
        <f t="shared" si="51"/>
        <v>18563729</v>
      </c>
      <c r="K40" s="341">
        <f t="shared" si="51"/>
        <v>6274540</v>
      </c>
      <c r="L40" s="341">
        <f t="shared" si="51"/>
        <v>185637</v>
      </c>
      <c r="M40" s="341">
        <f t="shared" si="51"/>
        <v>0</v>
      </c>
      <c r="N40" s="36">
        <f t="shared" si="51"/>
        <v>28.87</v>
      </c>
      <c r="O40" s="345">
        <f t="shared" si="51"/>
        <v>-30000</v>
      </c>
      <c r="P40" s="341">
        <f t="shared" si="51"/>
        <v>4420449</v>
      </c>
      <c r="Q40" s="341">
        <f t="shared" si="51"/>
        <v>27800</v>
      </c>
      <c r="R40" s="341">
        <f t="shared" si="51"/>
        <v>0</v>
      </c>
      <c r="S40" s="341">
        <f t="shared" si="51"/>
        <v>0</v>
      </c>
      <c r="T40" s="341">
        <f t="shared" si="51"/>
        <v>0</v>
      </c>
      <c r="U40" s="341">
        <f t="shared" si="51"/>
        <v>4418249</v>
      </c>
      <c r="V40" s="341">
        <f t="shared" si="51"/>
        <v>30000</v>
      </c>
      <c r="W40" s="341">
        <f t="shared" si="51"/>
        <v>0</v>
      </c>
      <c r="X40" s="341">
        <f t="shared" si="51"/>
        <v>0</v>
      </c>
      <c r="Y40" s="341">
        <f t="shared" si="51"/>
        <v>30000</v>
      </c>
      <c r="Z40" s="341">
        <f t="shared" si="51"/>
        <v>4448249</v>
      </c>
      <c r="AA40" s="341">
        <f t="shared" si="51"/>
        <v>1503508</v>
      </c>
      <c r="AB40" s="341">
        <f t="shared" si="51"/>
        <v>44182</v>
      </c>
      <c r="AC40" s="341">
        <f t="shared" si="51"/>
        <v>0</v>
      </c>
      <c r="AD40" s="798">
        <f t="shared" si="51"/>
        <v>5995939</v>
      </c>
      <c r="AE40" s="802">
        <f t="shared" si="51"/>
        <v>-0.02</v>
      </c>
      <c r="AF40" s="342">
        <f t="shared" si="51"/>
        <v>11.14</v>
      </c>
      <c r="AG40" s="342">
        <f t="shared" si="51"/>
        <v>0</v>
      </c>
      <c r="AH40" s="342">
        <f t="shared" si="51"/>
        <v>0.04</v>
      </c>
      <c r="AI40" s="342">
        <f t="shared" si="51"/>
        <v>0</v>
      </c>
      <c r="AJ40" s="342">
        <f t="shared" si="51"/>
        <v>0</v>
      </c>
      <c r="AK40" s="36">
        <f t="shared" si="51"/>
        <v>11.16</v>
      </c>
      <c r="AL40" s="345">
        <f t="shared" si="51"/>
        <v>31019845</v>
      </c>
      <c r="AM40" s="341">
        <f t="shared" si="51"/>
        <v>22981978</v>
      </c>
      <c r="AN40" s="341">
        <f t="shared" si="51"/>
        <v>30000</v>
      </c>
      <c r="AO40" s="341">
        <f t="shared" si="51"/>
        <v>7778048</v>
      </c>
      <c r="AP40" s="341">
        <f t="shared" si="51"/>
        <v>229819</v>
      </c>
      <c r="AQ40" s="341">
        <f t="shared" si="51"/>
        <v>0</v>
      </c>
      <c r="AR40" s="342">
        <f t="shared" si="51"/>
        <v>40.029999999999994</v>
      </c>
    </row>
    <row r="41" spans="1:44" x14ac:dyDescent="0.2">
      <c r="A41" s="136">
        <v>8</v>
      </c>
      <c r="B41" s="137">
        <v>3477</v>
      </c>
      <c r="C41" s="137">
        <v>600098451</v>
      </c>
      <c r="D41" s="137">
        <v>70695491</v>
      </c>
      <c r="E41" s="135" t="s">
        <v>94</v>
      </c>
      <c r="F41" s="137">
        <v>3111</v>
      </c>
      <c r="G41" s="138" t="s">
        <v>277</v>
      </c>
      <c r="H41" s="563" t="s">
        <v>262</v>
      </c>
      <c r="I41" s="627">
        <f>SUM(J41:L41)</f>
        <v>3955877</v>
      </c>
      <c r="J41" s="559">
        <v>2934627</v>
      </c>
      <c r="K41" s="431">
        <f t="shared" ref="K41:K42" si="52">ROUND(J41*33.8%,0)</f>
        <v>991904</v>
      </c>
      <c r="L41" s="431">
        <f t="shared" ref="L41:L42" si="53">ROUND(J41*1%,0)</f>
        <v>29346</v>
      </c>
      <c r="M41" s="431">
        <v>0</v>
      </c>
      <c r="N41" s="628">
        <v>5</v>
      </c>
      <c r="O41" s="445">
        <f>V41*-1</f>
        <v>0</v>
      </c>
      <c r="P41" s="325">
        <v>0</v>
      </c>
      <c r="Q41" s="325">
        <v>0</v>
      </c>
      <c r="R41" s="325">
        <v>0</v>
      </c>
      <c r="S41" s="325">
        <v>0</v>
      </c>
      <c r="T41" s="325">
        <v>0</v>
      </c>
      <c r="U41" s="492">
        <f t="shared" ref="U41:U42" si="54">O41+P41+Q41+R41+S41+T41</f>
        <v>0</v>
      </c>
      <c r="V41" s="325">
        <v>0</v>
      </c>
      <c r="W41" s="325">
        <v>0</v>
      </c>
      <c r="X41" s="325">
        <v>0</v>
      </c>
      <c r="Y41" s="492">
        <f t="shared" ref="Y41:Y42" si="55">V41+W41+X41</f>
        <v>0</v>
      </c>
      <c r="Z41" s="492">
        <f t="shared" ref="Z41:Z42" si="56">U41+Y41</f>
        <v>0</v>
      </c>
      <c r="AA41" s="494">
        <f t="shared" ref="AA41:AA42" si="57">ROUND((U41+Y41)*33.8%,0)</f>
        <v>0</v>
      </c>
      <c r="AB41" s="55">
        <f>ROUND(U41*1%,0)</f>
        <v>0</v>
      </c>
      <c r="AC41" s="492">
        <v>0</v>
      </c>
      <c r="AD41" s="789">
        <f t="shared" ref="AD41:AD42" si="58">Z41+AA41+AB41+AC41</f>
        <v>0</v>
      </c>
      <c r="AE41" s="715">
        <v>0</v>
      </c>
      <c r="AF41" s="326">
        <v>0</v>
      </c>
      <c r="AG41" s="326">
        <v>0</v>
      </c>
      <c r="AH41" s="326">
        <v>0</v>
      </c>
      <c r="AI41" s="326">
        <v>0</v>
      </c>
      <c r="AJ41" s="326">
        <v>0</v>
      </c>
      <c r="AK41" s="626">
        <f t="shared" ref="AK41:AK42" si="59">SUM(AE41:AJ41)</f>
        <v>0</v>
      </c>
      <c r="AL41" s="493">
        <f>I41+AD41</f>
        <v>3955877</v>
      </c>
      <c r="AM41" s="492">
        <f>J41+U41</f>
        <v>2934627</v>
      </c>
      <c r="AN41" s="492">
        <f t="shared" ref="AN41:AN42" si="60">Y41</f>
        <v>0</v>
      </c>
      <c r="AO41" s="492">
        <f>K41+AA41</f>
        <v>991904</v>
      </c>
      <c r="AP41" s="492">
        <f>L41+AB41</f>
        <v>29346</v>
      </c>
      <c r="AQ41" s="492">
        <f t="shared" ref="AQ41:AQ42" si="61">M41+AC41</f>
        <v>0</v>
      </c>
      <c r="AR41" s="491">
        <f t="shared" ref="AR41:AR42" si="62">N41+AK41</f>
        <v>5</v>
      </c>
    </row>
    <row r="42" spans="1:44" x14ac:dyDescent="0.2">
      <c r="A42" s="136">
        <v>8</v>
      </c>
      <c r="B42" s="137">
        <v>3477</v>
      </c>
      <c r="C42" s="137">
        <v>600098451</v>
      </c>
      <c r="D42" s="137">
        <v>70695491</v>
      </c>
      <c r="E42" s="135" t="s">
        <v>94</v>
      </c>
      <c r="F42" s="137">
        <v>3111</v>
      </c>
      <c r="G42" s="138" t="s">
        <v>278</v>
      </c>
      <c r="H42" s="563" t="s">
        <v>263</v>
      </c>
      <c r="I42" s="586">
        <f>SUM(J42:L42)</f>
        <v>0</v>
      </c>
      <c r="J42" s="490">
        <v>0</v>
      </c>
      <c r="K42" s="431">
        <f t="shared" si="52"/>
        <v>0</v>
      </c>
      <c r="L42" s="431">
        <f t="shared" si="53"/>
        <v>0</v>
      </c>
      <c r="M42" s="431">
        <v>0</v>
      </c>
      <c r="N42" s="631">
        <v>0</v>
      </c>
      <c r="O42" s="440">
        <f>V42*-1</f>
        <v>0</v>
      </c>
      <c r="P42" s="325">
        <v>793694</v>
      </c>
      <c r="Q42" s="325">
        <v>0</v>
      </c>
      <c r="R42" s="325">
        <v>0</v>
      </c>
      <c r="S42" s="325">
        <v>0</v>
      </c>
      <c r="T42" s="325">
        <v>0</v>
      </c>
      <c r="U42" s="492">
        <f t="shared" si="54"/>
        <v>793694</v>
      </c>
      <c r="V42" s="325">
        <v>0</v>
      </c>
      <c r="W42" s="325">
        <v>0</v>
      </c>
      <c r="X42" s="325">
        <v>0</v>
      </c>
      <c r="Y42" s="492">
        <f t="shared" si="55"/>
        <v>0</v>
      </c>
      <c r="Z42" s="492">
        <f t="shared" si="56"/>
        <v>793694</v>
      </c>
      <c r="AA42" s="494">
        <f t="shared" si="57"/>
        <v>268269</v>
      </c>
      <c r="AB42" s="55">
        <f>ROUND(U42*1%,0)</f>
        <v>7937</v>
      </c>
      <c r="AC42" s="492">
        <v>0</v>
      </c>
      <c r="AD42" s="789">
        <f t="shared" si="58"/>
        <v>1069900</v>
      </c>
      <c r="AE42" s="715">
        <v>0</v>
      </c>
      <c r="AF42" s="326">
        <v>2</v>
      </c>
      <c r="AG42" s="326">
        <v>0</v>
      </c>
      <c r="AH42" s="326">
        <v>0</v>
      </c>
      <c r="AI42" s="326">
        <v>0</v>
      </c>
      <c r="AJ42" s="326">
        <v>0</v>
      </c>
      <c r="AK42" s="626">
        <f t="shared" si="59"/>
        <v>2</v>
      </c>
      <c r="AL42" s="493">
        <f>I42+AD42</f>
        <v>1069900</v>
      </c>
      <c r="AM42" s="492">
        <f>J42+U42</f>
        <v>793694</v>
      </c>
      <c r="AN42" s="492">
        <f t="shared" si="60"/>
        <v>0</v>
      </c>
      <c r="AO42" s="492">
        <f>K42+AA42</f>
        <v>268269</v>
      </c>
      <c r="AP42" s="492">
        <f>L42+AB42</f>
        <v>7937</v>
      </c>
      <c r="AQ42" s="492">
        <f t="shared" si="61"/>
        <v>0</v>
      </c>
      <c r="AR42" s="491">
        <f t="shared" si="62"/>
        <v>2</v>
      </c>
    </row>
    <row r="43" spans="1:44" x14ac:dyDescent="0.2">
      <c r="A43" s="107">
        <v>8</v>
      </c>
      <c r="B43" s="15">
        <v>3477</v>
      </c>
      <c r="C43" s="15">
        <v>600098451</v>
      </c>
      <c r="D43" s="15">
        <v>70695491</v>
      </c>
      <c r="E43" s="116" t="s">
        <v>95</v>
      </c>
      <c r="F43" s="15"/>
      <c r="G43" s="106"/>
      <c r="H43" s="560"/>
      <c r="I43" s="794">
        <f t="shared" ref="I43:AR43" si="63">SUM(I41:I42)</f>
        <v>3955877</v>
      </c>
      <c r="J43" s="343">
        <f t="shared" si="63"/>
        <v>2934627</v>
      </c>
      <c r="K43" s="343">
        <f t="shared" si="63"/>
        <v>991904</v>
      </c>
      <c r="L43" s="343">
        <f t="shared" si="63"/>
        <v>29346</v>
      </c>
      <c r="M43" s="343">
        <f t="shared" si="63"/>
        <v>0</v>
      </c>
      <c r="N43" s="35">
        <f t="shared" si="63"/>
        <v>5</v>
      </c>
      <c r="O43" s="346">
        <f t="shared" si="63"/>
        <v>0</v>
      </c>
      <c r="P43" s="343">
        <f t="shared" si="63"/>
        <v>793694</v>
      </c>
      <c r="Q43" s="343">
        <f t="shared" si="63"/>
        <v>0</v>
      </c>
      <c r="R43" s="343">
        <f t="shared" si="63"/>
        <v>0</v>
      </c>
      <c r="S43" s="343">
        <f t="shared" si="63"/>
        <v>0</v>
      </c>
      <c r="T43" s="343">
        <f t="shared" si="63"/>
        <v>0</v>
      </c>
      <c r="U43" s="343">
        <f t="shared" si="63"/>
        <v>793694</v>
      </c>
      <c r="V43" s="343">
        <f t="shared" si="63"/>
        <v>0</v>
      </c>
      <c r="W43" s="343">
        <f t="shared" si="63"/>
        <v>0</v>
      </c>
      <c r="X43" s="343">
        <f t="shared" si="63"/>
        <v>0</v>
      </c>
      <c r="Y43" s="343">
        <f t="shared" si="63"/>
        <v>0</v>
      </c>
      <c r="Z43" s="343">
        <f t="shared" si="63"/>
        <v>793694</v>
      </c>
      <c r="AA43" s="343">
        <f t="shared" si="63"/>
        <v>268269</v>
      </c>
      <c r="AB43" s="343">
        <f t="shared" si="63"/>
        <v>7937</v>
      </c>
      <c r="AC43" s="343">
        <f t="shared" si="63"/>
        <v>0</v>
      </c>
      <c r="AD43" s="799">
        <f t="shared" si="63"/>
        <v>1069900</v>
      </c>
      <c r="AE43" s="803">
        <f t="shared" si="63"/>
        <v>0</v>
      </c>
      <c r="AF43" s="344">
        <f t="shared" si="63"/>
        <v>2</v>
      </c>
      <c r="AG43" s="344">
        <f t="shared" si="63"/>
        <v>0</v>
      </c>
      <c r="AH43" s="344">
        <f t="shared" si="63"/>
        <v>0</v>
      </c>
      <c r="AI43" s="344">
        <f t="shared" si="63"/>
        <v>0</v>
      </c>
      <c r="AJ43" s="344">
        <f t="shared" si="63"/>
        <v>0</v>
      </c>
      <c r="AK43" s="35">
        <f t="shared" si="63"/>
        <v>2</v>
      </c>
      <c r="AL43" s="346">
        <f t="shared" si="63"/>
        <v>5025777</v>
      </c>
      <c r="AM43" s="343">
        <f t="shared" si="63"/>
        <v>3728321</v>
      </c>
      <c r="AN43" s="343">
        <f t="shared" si="63"/>
        <v>0</v>
      </c>
      <c r="AO43" s="343">
        <f t="shared" si="63"/>
        <v>1260173</v>
      </c>
      <c r="AP43" s="343">
        <f t="shared" si="63"/>
        <v>37283</v>
      </c>
      <c r="AQ43" s="343">
        <f t="shared" si="63"/>
        <v>0</v>
      </c>
      <c r="AR43" s="344">
        <f t="shared" si="63"/>
        <v>7</v>
      </c>
    </row>
    <row r="44" spans="1:44" x14ac:dyDescent="0.2">
      <c r="A44" s="136">
        <v>9</v>
      </c>
      <c r="B44" s="137">
        <v>3476</v>
      </c>
      <c r="C44" s="137">
        <v>600099164</v>
      </c>
      <c r="D44" s="137">
        <v>854808</v>
      </c>
      <c r="E44" s="135" t="s">
        <v>96</v>
      </c>
      <c r="F44" s="137">
        <v>3113</v>
      </c>
      <c r="G44" s="138" t="s">
        <v>280</v>
      </c>
      <c r="H44" s="563" t="s">
        <v>262</v>
      </c>
      <c r="I44" s="627">
        <f>SUM(J44:L44)</f>
        <v>9722818</v>
      </c>
      <c r="J44" s="559">
        <v>7212773</v>
      </c>
      <c r="K44" s="431">
        <f t="shared" ref="K44:K46" si="64">ROUND(J44*33.8%,0)</f>
        <v>2437917</v>
      </c>
      <c r="L44" s="431">
        <f t="shared" ref="L44:L46" si="65">ROUND(J44*1%,0)</f>
        <v>72128</v>
      </c>
      <c r="M44" s="431">
        <v>0</v>
      </c>
      <c r="N44" s="628">
        <v>10.77</v>
      </c>
      <c r="O44" s="445">
        <f>V44*-1</f>
        <v>0</v>
      </c>
      <c r="P44" s="325">
        <v>0</v>
      </c>
      <c r="Q44" s="325">
        <v>11120</v>
      </c>
      <c r="R44" s="325">
        <v>0</v>
      </c>
      <c r="S44" s="325">
        <v>0</v>
      </c>
      <c r="T44" s="325">
        <v>0</v>
      </c>
      <c r="U44" s="492">
        <f t="shared" ref="U44:U46" si="66">O44+P44+Q44+R44+S44+T44</f>
        <v>11120</v>
      </c>
      <c r="V44" s="325">
        <v>0</v>
      </c>
      <c r="W44" s="325">
        <v>0</v>
      </c>
      <c r="X44" s="325">
        <v>0</v>
      </c>
      <c r="Y44" s="492">
        <f t="shared" ref="Y44:Y46" si="67">V44+W44+X44</f>
        <v>0</v>
      </c>
      <c r="Z44" s="492">
        <f t="shared" ref="Z44:Z46" si="68">U44+Y44</f>
        <v>11120</v>
      </c>
      <c r="AA44" s="494">
        <f t="shared" ref="AA44:AA46" si="69">ROUND((U44+Y44)*33.8%,0)</f>
        <v>3759</v>
      </c>
      <c r="AB44" s="55">
        <f>ROUND(U44*1%,0)</f>
        <v>111</v>
      </c>
      <c r="AC44" s="492">
        <v>0</v>
      </c>
      <c r="AD44" s="789">
        <f t="shared" ref="AD44:AD46" si="70">Z44+AA44+AB44+AC44</f>
        <v>14990</v>
      </c>
      <c r="AE44" s="715">
        <v>0</v>
      </c>
      <c r="AF44" s="326">
        <v>0</v>
      </c>
      <c r="AG44" s="326">
        <v>0</v>
      </c>
      <c r="AH44" s="326">
        <v>0.02</v>
      </c>
      <c r="AI44" s="326">
        <v>0</v>
      </c>
      <c r="AJ44" s="326">
        <v>0</v>
      </c>
      <c r="AK44" s="626">
        <f t="shared" ref="AK44:AK46" si="71">SUM(AE44:AJ44)</f>
        <v>0.02</v>
      </c>
      <c r="AL44" s="493">
        <f>I44+AD44</f>
        <v>9737808</v>
      </c>
      <c r="AM44" s="492">
        <f>J44+U44</f>
        <v>7223893</v>
      </c>
      <c r="AN44" s="492">
        <f t="shared" ref="AN44:AN46" si="72">Y44</f>
        <v>0</v>
      </c>
      <c r="AO44" s="492">
        <f t="shared" ref="AO44:AQ46" si="73">K44+AA44</f>
        <v>2441676</v>
      </c>
      <c r="AP44" s="492">
        <f t="shared" si="73"/>
        <v>72239</v>
      </c>
      <c r="AQ44" s="492">
        <f t="shared" si="73"/>
        <v>0</v>
      </c>
      <c r="AR44" s="491">
        <f t="shared" ref="AR44:AR46" si="74">N44+AK44</f>
        <v>10.79</v>
      </c>
    </row>
    <row r="45" spans="1:44" x14ac:dyDescent="0.2">
      <c r="A45" s="136">
        <v>9</v>
      </c>
      <c r="B45" s="137">
        <v>3476</v>
      </c>
      <c r="C45" s="137">
        <v>600099164</v>
      </c>
      <c r="D45" s="137">
        <v>854808</v>
      </c>
      <c r="E45" s="135" t="s">
        <v>96</v>
      </c>
      <c r="F45" s="137">
        <v>3113</v>
      </c>
      <c r="G45" s="138" t="s">
        <v>278</v>
      </c>
      <c r="H45" s="563" t="s">
        <v>263</v>
      </c>
      <c r="I45" s="586">
        <f>SUM(J45:L45)</f>
        <v>0</v>
      </c>
      <c r="J45" s="490">
        <v>0</v>
      </c>
      <c r="K45" s="431">
        <f t="shared" si="64"/>
        <v>0</v>
      </c>
      <c r="L45" s="431">
        <f t="shared" si="65"/>
        <v>0</v>
      </c>
      <c r="M45" s="431">
        <v>0</v>
      </c>
      <c r="N45" s="631">
        <v>0</v>
      </c>
      <c r="O45" s="440">
        <f>V45*-1</f>
        <v>0</v>
      </c>
      <c r="P45" s="325">
        <v>423338</v>
      </c>
      <c r="Q45" s="325">
        <v>0</v>
      </c>
      <c r="R45" s="325">
        <v>0</v>
      </c>
      <c r="S45" s="325">
        <v>0</v>
      </c>
      <c r="T45" s="325">
        <v>0</v>
      </c>
      <c r="U45" s="492">
        <f t="shared" si="66"/>
        <v>423338</v>
      </c>
      <c r="V45" s="325">
        <v>0</v>
      </c>
      <c r="W45" s="325">
        <v>0</v>
      </c>
      <c r="X45" s="325">
        <v>0</v>
      </c>
      <c r="Y45" s="492">
        <f t="shared" si="67"/>
        <v>0</v>
      </c>
      <c r="Z45" s="492">
        <f t="shared" si="68"/>
        <v>423338</v>
      </c>
      <c r="AA45" s="494">
        <f t="shared" si="69"/>
        <v>143088</v>
      </c>
      <c r="AB45" s="55">
        <f>ROUND(U45*1%,0)</f>
        <v>4233</v>
      </c>
      <c r="AC45" s="492">
        <v>0</v>
      </c>
      <c r="AD45" s="789">
        <f t="shared" si="70"/>
        <v>570659</v>
      </c>
      <c r="AE45" s="715">
        <v>0</v>
      </c>
      <c r="AF45" s="326">
        <v>1.05</v>
      </c>
      <c r="AG45" s="326">
        <v>0</v>
      </c>
      <c r="AH45" s="326">
        <v>0</v>
      </c>
      <c r="AI45" s="326">
        <v>0</v>
      </c>
      <c r="AJ45" s="326">
        <v>0</v>
      </c>
      <c r="AK45" s="626">
        <f t="shared" si="71"/>
        <v>1.05</v>
      </c>
      <c r="AL45" s="493">
        <f>I45+AD45</f>
        <v>570659</v>
      </c>
      <c r="AM45" s="492">
        <f>J45+U45</f>
        <v>423338</v>
      </c>
      <c r="AN45" s="492">
        <f t="shared" si="72"/>
        <v>0</v>
      </c>
      <c r="AO45" s="492">
        <f t="shared" si="73"/>
        <v>143088</v>
      </c>
      <c r="AP45" s="492">
        <f t="shared" si="73"/>
        <v>4233</v>
      </c>
      <c r="AQ45" s="492">
        <f t="shared" si="73"/>
        <v>0</v>
      </c>
      <c r="AR45" s="491">
        <f t="shared" si="74"/>
        <v>1.05</v>
      </c>
    </row>
    <row r="46" spans="1:44" x14ac:dyDescent="0.2">
      <c r="A46" s="136">
        <v>9</v>
      </c>
      <c r="B46" s="137">
        <v>3476</v>
      </c>
      <c r="C46" s="137">
        <v>600099164</v>
      </c>
      <c r="D46" s="137">
        <v>854808</v>
      </c>
      <c r="E46" s="135" t="s">
        <v>96</v>
      </c>
      <c r="F46" s="137">
        <v>3143</v>
      </c>
      <c r="G46" s="138" t="s">
        <v>794</v>
      </c>
      <c r="H46" s="157" t="s">
        <v>262</v>
      </c>
      <c r="I46" s="586">
        <f>SUM(J46:L46)</f>
        <v>644072</v>
      </c>
      <c r="J46" s="490">
        <v>477798</v>
      </c>
      <c r="K46" s="431">
        <f t="shared" si="64"/>
        <v>161496</v>
      </c>
      <c r="L46" s="431">
        <f t="shared" si="65"/>
        <v>4778</v>
      </c>
      <c r="M46" s="431">
        <v>0</v>
      </c>
      <c r="N46" s="631">
        <v>0.89</v>
      </c>
      <c r="O46" s="440">
        <f>V46*-1</f>
        <v>0</v>
      </c>
      <c r="P46" s="325">
        <v>0</v>
      </c>
      <c r="Q46" s="325">
        <v>0</v>
      </c>
      <c r="R46" s="325">
        <v>0</v>
      </c>
      <c r="S46" s="325">
        <v>0</v>
      </c>
      <c r="T46" s="325">
        <v>0</v>
      </c>
      <c r="U46" s="492">
        <f t="shared" si="66"/>
        <v>0</v>
      </c>
      <c r="V46" s="325">
        <v>0</v>
      </c>
      <c r="W46" s="325">
        <v>0</v>
      </c>
      <c r="X46" s="325">
        <v>0</v>
      </c>
      <c r="Y46" s="492">
        <f t="shared" si="67"/>
        <v>0</v>
      </c>
      <c r="Z46" s="492">
        <f t="shared" si="68"/>
        <v>0</v>
      </c>
      <c r="AA46" s="494">
        <f t="shared" si="69"/>
        <v>0</v>
      </c>
      <c r="AB46" s="55">
        <f>ROUND(U46*1%,0)</f>
        <v>0</v>
      </c>
      <c r="AC46" s="492">
        <v>0</v>
      </c>
      <c r="AD46" s="789">
        <f t="shared" si="70"/>
        <v>0</v>
      </c>
      <c r="AE46" s="715">
        <v>0</v>
      </c>
      <c r="AF46" s="326">
        <v>0</v>
      </c>
      <c r="AG46" s="326">
        <v>0</v>
      </c>
      <c r="AH46" s="326">
        <v>0</v>
      </c>
      <c r="AI46" s="326">
        <v>0</v>
      </c>
      <c r="AJ46" s="326">
        <v>0</v>
      </c>
      <c r="AK46" s="626">
        <f t="shared" si="71"/>
        <v>0</v>
      </c>
      <c r="AL46" s="493">
        <f>I46+AD46</f>
        <v>644072</v>
      </c>
      <c r="AM46" s="492">
        <f>J46+U46</f>
        <v>477798</v>
      </c>
      <c r="AN46" s="492">
        <f t="shared" si="72"/>
        <v>0</v>
      </c>
      <c r="AO46" s="492">
        <f t="shared" si="73"/>
        <v>161496</v>
      </c>
      <c r="AP46" s="492">
        <f t="shared" si="73"/>
        <v>4778</v>
      </c>
      <c r="AQ46" s="492">
        <f t="shared" si="73"/>
        <v>0</v>
      </c>
      <c r="AR46" s="491">
        <f t="shared" si="74"/>
        <v>0.89</v>
      </c>
    </row>
    <row r="47" spans="1:44" x14ac:dyDescent="0.2">
      <c r="A47" s="107">
        <v>9</v>
      </c>
      <c r="B47" s="15">
        <v>3476</v>
      </c>
      <c r="C47" s="15">
        <v>600099164</v>
      </c>
      <c r="D47" s="15">
        <v>854808</v>
      </c>
      <c r="E47" s="116" t="s">
        <v>97</v>
      </c>
      <c r="F47" s="15"/>
      <c r="G47" s="106"/>
      <c r="H47" s="560"/>
      <c r="I47" s="793">
        <f t="shared" ref="I47:AR47" si="75">SUM(I44:I46)</f>
        <v>10366890</v>
      </c>
      <c r="J47" s="341">
        <f t="shared" si="75"/>
        <v>7690571</v>
      </c>
      <c r="K47" s="341">
        <f t="shared" si="75"/>
        <v>2599413</v>
      </c>
      <c r="L47" s="341">
        <f t="shared" si="75"/>
        <v>76906</v>
      </c>
      <c r="M47" s="341">
        <f t="shared" si="75"/>
        <v>0</v>
      </c>
      <c r="N47" s="36">
        <f t="shared" si="75"/>
        <v>11.66</v>
      </c>
      <c r="O47" s="345">
        <f t="shared" si="75"/>
        <v>0</v>
      </c>
      <c r="P47" s="341">
        <f t="shared" si="75"/>
        <v>423338</v>
      </c>
      <c r="Q47" s="341">
        <f t="shared" si="75"/>
        <v>11120</v>
      </c>
      <c r="R47" s="341">
        <f t="shared" si="75"/>
        <v>0</v>
      </c>
      <c r="S47" s="341">
        <f t="shared" si="75"/>
        <v>0</v>
      </c>
      <c r="T47" s="341">
        <f t="shared" si="75"/>
        <v>0</v>
      </c>
      <c r="U47" s="341">
        <f t="shared" si="75"/>
        <v>434458</v>
      </c>
      <c r="V47" s="341">
        <f t="shared" si="75"/>
        <v>0</v>
      </c>
      <c r="W47" s="341">
        <f t="shared" si="75"/>
        <v>0</v>
      </c>
      <c r="X47" s="341">
        <f t="shared" si="75"/>
        <v>0</v>
      </c>
      <c r="Y47" s="341">
        <f t="shared" si="75"/>
        <v>0</v>
      </c>
      <c r="Z47" s="341">
        <f t="shared" si="75"/>
        <v>434458</v>
      </c>
      <c r="AA47" s="341">
        <f t="shared" si="75"/>
        <v>146847</v>
      </c>
      <c r="AB47" s="341">
        <f t="shared" si="75"/>
        <v>4344</v>
      </c>
      <c r="AC47" s="341">
        <f t="shared" si="75"/>
        <v>0</v>
      </c>
      <c r="AD47" s="798">
        <f t="shared" si="75"/>
        <v>585649</v>
      </c>
      <c r="AE47" s="802">
        <f t="shared" si="75"/>
        <v>0</v>
      </c>
      <c r="AF47" s="342">
        <f t="shared" si="75"/>
        <v>1.05</v>
      </c>
      <c r="AG47" s="342">
        <f t="shared" si="75"/>
        <v>0</v>
      </c>
      <c r="AH47" s="342">
        <f t="shared" si="75"/>
        <v>0.02</v>
      </c>
      <c r="AI47" s="342">
        <f t="shared" si="75"/>
        <v>0</v>
      </c>
      <c r="AJ47" s="342">
        <f t="shared" si="75"/>
        <v>0</v>
      </c>
      <c r="AK47" s="36">
        <f t="shared" si="75"/>
        <v>1.07</v>
      </c>
      <c r="AL47" s="345">
        <f t="shared" si="75"/>
        <v>10952539</v>
      </c>
      <c r="AM47" s="341">
        <f t="shared" si="75"/>
        <v>8125029</v>
      </c>
      <c r="AN47" s="341">
        <f t="shared" si="75"/>
        <v>0</v>
      </c>
      <c r="AO47" s="341">
        <f t="shared" si="75"/>
        <v>2746260</v>
      </c>
      <c r="AP47" s="341">
        <f t="shared" si="75"/>
        <v>81250</v>
      </c>
      <c r="AQ47" s="341">
        <f t="shared" si="75"/>
        <v>0</v>
      </c>
      <c r="AR47" s="342">
        <f t="shared" si="75"/>
        <v>12.73</v>
      </c>
    </row>
    <row r="48" spans="1:44" x14ac:dyDescent="0.2">
      <c r="A48" s="136">
        <v>10</v>
      </c>
      <c r="B48" s="137">
        <v>3424</v>
      </c>
      <c r="C48" s="137">
        <v>650040384</v>
      </c>
      <c r="D48" s="137">
        <v>72744561</v>
      </c>
      <c r="E48" s="135" t="s">
        <v>98</v>
      </c>
      <c r="F48" s="137">
        <v>3111</v>
      </c>
      <c r="G48" s="138" t="s">
        <v>277</v>
      </c>
      <c r="H48" s="563" t="s">
        <v>262</v>
      </c>
      <c r="I48" s="627">
        <f>SUM(J48:L48)</f>
        <v>1476093</v>
      </c>
      <c r="J48" s="559">
        <v>1095025</v>
      </c>
      <c r="K48" s="431">
        <f t="shared" ref="K48:K51" si="76">ROUND(J48*33.8%,0)</f>
        <v>370118</v>
      </c>
      <c r="L48" s="431">
        <f t="shared" ref="L48:L51" si="77">ROUND(J48*1%,0)</f>
        <v>10950</v>
      </c>
      <c r="M48" s="431">
        <v>0</v>
      </c>
      <c r="N48" s="628">
        <v>2</v>
      </c>
      <c r="O48" s="445">
        <f>V48*-1</f>
        <v>0</v>
      </c>
      <c r="P48" s="325">
        <v>0</v>
      </c>
      <c r="Q48" s="325">
        <v>0</v>
      </c>
      <c r="R48" s="325">
        <v>0</v>
      </c>
      <c r="S48" s="325">
        <v>0</v>
      </c>
      <c r="T48" s="325">
        <v>0</v>
      </c>
      <c r="U48" s="492">
        <f t="shared" ref="U48:U51" si="78">O48+P48+Q48+R48+S48+T48</f>
        <v>0</v>
      </c>
      <c r="V48" s="325">
        <v>0</v>
      </c>
      <c r="W48" s="325">
        <v>0</v>
      </c>
      <c r="X48" s="325">
        <v>0</v>
      </c>
      <c r="Y48" s="492">
        <f t="shared" ref="Y48:Y51" si="79">V48+W48+X48</f>
        <v>0</v>
      </c>
      <c r="Z48" s="492">
        <f t="shared" ref="Z48:Z51" si="80">U48+Y48</f>
        <v>0</v>
      </c>
      <c r="AA48" s="494">
        <f t="shared" ref="AA48:AA51" si="81">ROUND((U48+Y48)*33.8%,0)</f>
        <v>0</v>
      </c>
      <c r="AB48" s="55">
        <f>ROUND(U48*1%,0)</f>
        <v>0</v>
      </c>
      <c r="AC48" s="492">
        <v>0</v>
      </c>
      <c r="AD48" s="789">
        <f t="shared" ref="AD48:AD51" si="82">Z48+AA48+AB48+AC48</f>
        <v>0</v>
      </c>
      <c r="AE48" s="715">
        <v>0</v>
      </c>
      <c r="AF48" s="326">
        <v>0</v>
      </c>
      <c r="AG48" s="326">
        <v>0</v>
      </c>
      <c r="AH48" s="326">
        <v>0</v>
      </c>
      <c r="AI48" s="326">
        <v>0</v>
      </c>
      <c r="AJ48" s="326">
        <v>0</v>
      </c>
      <c r="AK48" s="626">
        <f t="shared" ref="AK48:AK51" si="83">SUM(AE48:AJ48)</f>
        <v>0</v>
      </c>
      <c r="AL48" s="493">
        <f>I48+AD48</f>
        <v>1476093</v>
      </c>
      <c r="AM48" s="492">
        <f>J48+U48</f>
        <v>1095025</v>
      </c>
      <c r="AN48" s="492">
        <f t="shared" ref="AN48:AN51" si="84">Y48</f>
        <v>0</v>
      </c>
      <c r="AO48" s="492">
        <f t="shared" ref="AO48:AQ51" si="85">K48+AA48</f>
        <v>370118</v>
      </c>
      <c r="AP48" s="492">
        <f t="shared" si="85"/>
        <v>10950</v>
      </c>
      <c r="AQ48" s="492">
        <f t="shared" si="85"/>
        <v>0</v>
      </c>
      <c r="AR48" s="491">
        <f t="shared" ref="AR48:AR51" si="86">N48+AK48</f>
        <v>2</v>
      </c>
    </row>
    <row r="49" spans="1:44" x14ac:dyDescent="0.2">
      <c r="A49" s="136">
        <v>10</v>
      </c>
      <c r="B49" s="137">
        <v>3424</v>
      </c>
      <c r="C49" s="137">
        <v>650040384</v>
      </c>
      <c r="D49" s="137">
        <v>72744561</v>
      </c>
      <c r="E49" s="135" t="s">
        <v>98</v>
      </c>
      <c r="F49" s="137">
        <v>3117</v>
      </c>
      <c r="G49" s="138" t="s">
        <v>280</v>
      </c>
      <c r="H49" s="563" t="s">
        <v>262</v>
      </c>
      <c r="I49" s="586">
        <f>SUM(J49:L49)</f>
        <v>2860389</v>
      </c>
      <c r="J49" s="490">
        <v>2121950</v>
      </c>
      <c r="K49" s="431">
        <f t="shared" si="76"/>
        <v>717219</v>
      </c>
      <c r="L49" s="431">
        <f t="shared" si="77"/>
        <v>21220</v>
      </c>
      <c r="M49" s="431">
        <v>0</v>
      </c>
      <c r="N49" s="631">
        <v>2.86</v>
      </c>
      <c r="O49" s="440">
        <f>V49*-1</f>
        <v>0</v>
      </c>
      <c r="P49" s="325">
        <v>0</v>
      </c>
      <c r="Q49" s="325">
        <v>0</v>
      </c>
      <c r="R49" s="325">
        <v>0</v>
      </c>
      <c r="S49" s="325">
        <v>0</v>
      </c>
      <c r="T49" s="325">
        <v>0</v>
      </c>
      <c r="U49" s="492">
        <f t="shared" si="78"/>
        <v>0</v>
      </c>
      <c r="V49" s="325">
        <v>0</v>
      </c>
      <c r="W49" s="325">
        <v>0</v>
      </c>
      <c r="X49" s="325">
        <v>0</v>
      </c>
      <c r="Y49" s="492">
        <f t="shared" si="79"/>
        <v>0</v>
      </c>
      <c r="Z49" s="492">
        <f t="shared" si="80"/>
        <v>0</v>
      </c>
      <c r="AA49" s="494">
        <f t="shared" si="81"/>
        <v>0</v>
      </c>
      <c r="AB49" s="55">
        <f>ROUND(U49*1%,0)</f>
        <v>0</v>
      </c>
      <c r="AC49" s="492">
        <v>0</v>
      </c>
      <c r="AD49" s="789">
        <f t="shared" si="82"/>
        <v>0</v>
      </c>
      <c r="AE49" s="715">
        <v>0</v>
      </c>
      <c r="AF49" s="326">
        <v>0</v>
      </c>
      <c r="AG49" s="326">
        <v>0</v>
      </c>
      <c r="AH49" s="326">
        <v>0</v>
      </c>
      <c r="AI49" s="326">
        <v>0</v>
      </c>
      <c r="AJ49" s="326">
        <v>0</v>
      </c>
      <c r="AK49" s="626">
        <f t="shared" si="83"/>
        <v>0</v>
      </c>
      <c r="AL49" s="493">
        <f>I49+AD49</f>
        <v>2860389</v>
      </c>
      <c r="AM49" s="492">
        <f>J49+U49</f>
        <v>2121950</v>
      </c>
      <c r="AN49" s="492">
        <f t="shared" si="84"/>
        <v>0</v>
      </c>
      <c r="AO49" s="492">
        <f t="shared" si="85"/>
        <v>717219</v>
      </c>
      <c r="AP49" s="492">
        <f t="shared" si="85"/>
        <v>21220</v>
      </c>
      <c r="AQ49" s="492">
        <f t="shared" si="85"/>
        <v>0</v>
      </c>
      <c r="AR49" s="491">
        <f t="shared" si="86"/>
        <v>2.86</v>
      </c>
    </row>
    <row r="50" spans="1:44" x14ac:dyDescent="0.2">
      <c r="A50" s="136">
        <v>10</v>
      </c>
      <c r="B50" s="137">
        <v>3424</v>
      </c>
      <c r="C50" s="137">
        <v>650040384</v>
      </c>
      <c r="D50" s="137">
        <v>72744561</v>
      </c>
      <c r="E50" s="135" t="s">
        <v>98</v>
      </c>
      <c r="F50" s="137">
        <v>3117</v>
      </c>
      <c r="G50" s="138" t="s">
        <v>278</v>
      </c>
      <c r="H50" s="563" t="s">
        <v>263</v>
      </c>
      <c r="I50" s="586">
        <f>SUM(J50:L50)</f>
        <v>0</v>
      </c>
      <c r="J50" s="490">
        <v>0</v>
      </c>
      <c r="K50" s="431">
        <f t="shared" si="76"/>
        <v>0</v>
      </c>
      <c r="L50" s="431">
        <f t="shared" si="77"/>
        <v>0</v>
      </c>
      <c r="M50" s="431">
        <v>0</v>
      </c>
      <c r="N50" s="631">
        <v>0</v>
      </c>
      <c r="O50" s="440">
        <f>V50*-1</f>
        <v>0</v>
      </c>
      <c r="P50" s="325">
        <v>451970</v>
      </c>
      <c r="Q50" s="325">
        <v>0</v>
      </c>
      <c r="R50" s="325">
        <v>0</v>
      </c>
      <c r="S50" s="325">
        <v>0</v>
      </c>
      <c r="T50" s="325">
        <v>0</v>
      </c>
      <c r="U50" s="492">
        <f t="shared" si="78"/>
        <v>451970</v>
      </c>
      <c r="V50" s="325">
        <v>0</v>
      </c>
      <c r="W50" s="325">
        <v>0</v>
      </c>
      <c r="X50" s="325">
        <v>0</v>
      </c>
      <c r="Y50" s="492">
        <f t="shared" si="79"/>
        <v>0</v>
      </c>
      <c r="Z50" s="492">
        <f t="shared" si="80"/>
        <v>451970</v>
      </c>
      <c r="AA50" s="494">
        <f t="shared" si="81"/>
        <v>152766</v>
      </c>
      <c r="AB50" s="55">
        <f>ROUND(U50*1%,0)</f>
        <v>4520</v>
      </c>
      <c r="AC50" s="492">
        <v>0</v>
      </c>
      <c r="AD50" s="789">
        <f t="shared" si="82"/>
        <v>609256</v>
      </c>
      <c r="AE50" s="715">
        <v>0</v>
      </c>
      <c r="AF50" s="326">
        <v>1.1399999999999999</v>
      </c>
      <c r="AG50" s="326">
        <v>0</v>
      </c>
      <c r="AH50" s="326">
        <v>0</v>
      </c>
      <c r="AI50" s="326">
        <v>0</v>
      </c>
      <c r="AJ50" s="326">
        <v>0</v>
      </c>
      <c r="AK50" s="626">
        <f t="shared" si="83"/>
        <v>1.1399999999999999</v>
      </c>
      <c r="AL50" s="493">
        <f>I50+AD50</f>
        <v>609256</v>
      </c>
      <c r="AM50" s="492">
        <f>J50+U50</f>
        <v>451970</v>
      </c>
      <c r="AN50" s="492">
        <f t="shared" si="84"/>
        <v>0</v>
      </c>
      <c r="AO50" s="492">
        <f t="shared" si="85"/>
        <v>152766</v>
      </c>
      <c r="AP50" s="492">
        <f t="shared" si="85"/>
        <v>4520</v>
      </c>
      <c r="AQ50" s="492">
        <f t="shared" si="85"/>
        <v>0</v>
      </c>
      <c r="AR50" s="491">
        <f t="shared" si="86"/>
        <v>1.1399999999999999</v>
      </c>
    </row>
    <row r="51" spans="1:44" x14ac:dyDescent="0.2">
      <c r="A51" s="136">
        <v>10</v>
      </c>
      <c r="B51" s="137">
        <v>3424</v>
      </c>
      <c r="C51" s="137">
        <v>650040384</v>
      </c>
      <c r="D51" s="137">
        <v>72744561</v>
      </c>
      <c r="E51" s="135" t="s">
        <v>98</v>
      </c>
      <c r="F51" s="137">
        <v>3143</v>
      </c>
      <c r="G51" s="138" t="s">
        <v>795</v>
      </c>
      <c r="H51" s="157" t="s">
        <v>262</v>
      </c>
      <c r="I51" s="586">
        <f>SUM(J51:L51)</f>
        <v>653149</v>
      </c>
      <c r="J51" s="490">
        <v>484532</v>
      </c>
      <c r="K51" s="431">
        <f t="shared" si="76"/>
        <v>163772</v>
      </c>
      <c r="L51" s="431">
        <f t="shared" si="77"/>
        <v>4845</v>
      </c>
      <c r="M51" s="431">
        <v>0</v>
      </c>
      <c r="N51" s="631">
        <v>0.86</v>
      </c>
      <c r="O51" s="440">
        <f>V51*-1</f>
        <v>0</v>
      </c>
      <c r="P51" s="325">
        <v>0</v>
      </c>
      <c r="Q51" s="325">
        <v>0</v>
      </c>
      <c r="R51" s="325">
        <v>0</v>
      </c>
      <c r="S51" s="325">
        <v>0</v>
      </c>
      <c r="T51" s="325">
        <v>0</v>
      </c>
      <c r="U51" s="492">
        <f t="shared" si="78"/>
        <v>0</v>
      </c>
      <c r="V51" s="325">
        <v>0</v>
      </c>
      <c r="W51" s="325">
        <v>0</v>
      </c>
      <c r="X51" s="325">
        <v>0</v>
      </c>
      <c r="Y51" s="492">
        <f t="shared" si="79"/>
        <v>0</v>
      </c>
      <c r="Z51" s="492">
        <f t="shared" si="80"/>
        <v>0</v>
      </c>
      <c r="AA51" s="494">
        <f t="shared" si="81"/>
        <v>0</v>
      </c>
      <c r="AB51" s="55">
        <f>ROUND(U51*1%,0)</f>
        <v>0</v>
      </c>
      <c r="AC51" s="492">
        <v>0</v>
      </c>
      <c r="AD51" s="789">
        <f t="shared" si="82"/>
        <v>0</v>
      </c>
      <c r="AE51" s="715">
        <v>0</v>
      </c>
      <c r="AF51" s="326">
        <v>0</v>
      </c>
      <c r="AG51" s="326">
        <v>0</v>
      </c>
      <c r="AH51" s="326">
        <v>0</v>
      </c>
      <c r="AI51" s="326">
        <v>0</v>
      </c>
      <c r="AJ51" s="326">
        <v>0</v>
      </c>
      <c r="AK51" s="626">
        <f t="shared" si="83"/>
        <v>0</v>
      </c>
      <c r="AL51" s="493">
        <f>I51+AD51</f>
        <v>653149</v>
      </c>
      <c r="AM51" s="492">
        <f>J51+U51</f>
        <v>484532</v>
      </c>
      <c r="AN51" s="492">
        <f t="shared" si="84"/>
        <v>0</v>
      </c>
      <c r="AO51" s="492">
        <f t="shared" si="85"/>
        <v>163772</v>
      </c>
      <c r="AP51" s="492">
        <f t="shared" si="85"/>
        <v>4845</v>
      </c>
      <c r="AQ51" s="492">
        <f t="shared" si="85"/>
        <v>0</v>
      </c>
      <c r="AR51" s="491">
        <f t="shared" si="86"/>
        <v>0.86</v>
      </c>
    </row>
    <row r="52" spans="1:44" x14ac:dyDescent="0.2">
      <c r="A52" s="107">
        <v>10</v>
      </c>
      <c r="B52" s="15">
        <v>3424</v>
      </c>
      <c r="C52" s="15">
        <v>650040384</v>
      </c>
      <c r="D52" s="15">
        <v>72744561</v>
      </c>
      <c r="E52" s="116" t="s">
        <v>99</v>
      </c>
      <c r="F52" s="15"/>
      <c r="G52" s="106"/>
      <c r="H52" s="560"/>
      <c r="I52" s="793">
        <f t="shared" ref="I52:AR52" si="87">SUM(I48:I51)</f>
        <v>4989631</v>
      </c>
      <c r="J52" s="341">
        <f t="shared" si="87"/>
        <v>3701507</v>
      </c>
      <c r="K52" s="341">
        <f t="shared" si="87"/>
        <v>1251109</v>
      </c>
      <c r="L52" s="341">
        <f t="shared" si="87"/>
        <v>37015</v>
      </c>
      <c r="M52" s="341">
        <f t="shared" si="87"/>
        <v>0</v>
      </c>
      <c r="N52" s="36">
        <f t="shared" si="87"/>
        <v>5.72</v>
      </c>
      <c r="O52" s="345">
        <f t="shared" si="87"/>
        <v>0</v>
      </c>
      <c r="P52" s="341">
        <f t="shared" si="87"/>
        <v>451970</v>
      </c>
      <c r="Q52" s="341">
        <f t="shared" si="87"/>
        <v>0</v>
      </c>
      <c r="R52" s="341">
        <f t="shared" si="87"/>
        <v>0</v>
      </c>
      <c r="S52" s="341">
        <f t="shared" si="87"/>
        <v>0</v>
      </c>
      <c r="T52" s="341">
        <f t="shared" si="87"/>
        <v>0</v>
      </c>
      <c r="U52" s="341">
        <f t="shared" si="87"/>
        <v>451970</v>
      </c>
      <c r="V52" s="341">
        <f t="shared" si="87"/>
        <v>0</v>
      </c>
      <c r="W52" s="341">
        <f t="shared" si="87"/>
        <v>0</v>
      </c>
      <c r="X52" s="341">
        <f t="shared" si="87"/>
        <v>0</v>
      </c>
      <c r="Y52" s="341">
        <f t="shared" si="87"/>
        <v>0</v>
      </c>
      <c r="Z52" s="341">
        <f t="shared" si="87"/>
        <v>451970</v>
      </c>
      <c r="AA52" s="341">
        <f t="shared" si="87"/>
        <v>152766</v>
      </c>
      <c r="AB52" s="341">
        <f t="shared" si="87"/>
        <v>4520</v>
      </c>
      <c r="AC52" s="341">
        <f t="shared" si="87"/>
        <v>0</v>
      </c>
      <c r="AD52" s="798">
        <f t="shared" si="87"/>
        <v>609256</v>
      </c>
      <c r="AE52" s="802">
        <f t="shared" si="87"/>
        <v>0</v>
      </c>
      <c r="AF52" s="342">
        <f t="shared" si="87"/>
        <v>1.1399999999999999</v>
      </c>
      <c r="AG52" s="342">
        <f t="shared" si="87"/>
        <v>0</v>
      </c>
      <c r="AH52" s="342">
        <f t="shared" si="87"/>
        <v>0</v>
      </c>
      <c r="AI52" s="342">
        <f t="shared" si="87"/>
        <v>0</v>
      </c>
      <c r="AJ52" s="342">
        <f t="shared" si="87"/>
        <v>0</v>
      </c>
      <c r="AK52" s="36">
        <f t="shared" si="87"/>
        <v>1.1399999999999999</v>
      </c>
      <c r="AL52" s="345">
        <f t="shared" si="87"/>
        <v>5598887</v>
      </c>
      <c r="AM52" s="341">
        <f t="shared" si="87"/>
        <v>4153477</v>
      </c>
      <c r="AN52" s="341">
        <f t="shared" si="87"/>
        <v>0</v>
      </c>
      <c r="AO52" s="341">
        <f t="shared" si="87"/>
        <v>1403875</v>
      </c>
      <c r="AP52" s="341">
        <f t="shared" si="87"/>
        <v>41535</v>
      </c>
      <c r="AQ52" s="341">
        <f t="shared" si="87"/>
        <v>0</v>
      </c>
      <c r="AR52" s="342">
        <f t="shared" si="87"/>
        <v>6.8599999999999994</v>
      </c>
    </row>
    <row r="53" spans="1:44" x14ac:dyDescent="0.2">
      <c r="A53" s="136">
        <v>11</v>
      </c>
      <c r="B53" s="137">
        <v>3430</v>
      </c>
      <c r="C53" s="137">
        <v>600078183</v>
      </c>
      <c r="D53" s="137">
        <v>72744405</v>
      </c>
      <c r="E53" s="135" t="s">
        <v>100</v>
      </c>
      <c r="F53" s="137">
        <v>3111</v>
      </c>
      <c r="G53" s="138" t="s">
        <v>277</v>
      </c>
      <c r="H53" s="563" t="s">
        <v>262</v>
      </c>
      <c r="I53" s="627">
        <f>SUM(J53:L53)</f>
        <v>3512093</v>
      </c>
      <c r="J53" s="559">
        <v>2605410</v>
      </c>
      <c r="K53" s="431">
        <f t="shared" ref="K53:K54" si="88">ROUND(J53*33.8%,0)</f>
        <v>880629</v>
      </c>
      <c r="L53" s="431">
        <f t="shared" ref="L53:L54" si="89">ROUND(J53*1%,0)</f>
        <v>26054</v>
      </c>
      <c r="M53" s="431">
        <v>0</v>
      </c>
      <c r="N53" s="628">
        <v>4</v>
      </c>
      <c r="O53" s="445">
        <f>V53*-1</f>
        <v>0</v>
      </c>
      <c r="P53" s="325">
        <v>0</v>
      </c>
      <c r="Q53" s="325">
        <v>0</v>
      </c>
      <c r="R53" s="325">
        <v>0</v>
      </c>
      <c r="S53" s="325">
        <v>0</v>
      </c>
      <c r="T53" s="325">
        <v>0</v>
      </c>
      <c r="U53" s="492">
        <f t="shared" ref="U53:U54" si="90">O53+P53+Q53+R53+S53+T53</f>
        <v>0</v>
      </c>
      <c r="V53" s="325">
        <v>0</v>
      </c>
      <c r="W53" s="325">
        <v>0</v>
      </c>
      <c r="X53" s="325">
        <v>0</v>
      </c>
      <c r="Y53" s="492">
        <f t="shared" ref="Y53:Y54" si="91">V53+W53+X53</f>
        <v>0</v>
      </c>
      <c r="Z53" s="492">
        <f t="shared" ref="Z53:Z54" si="92">U53+Y53</f>
        <v>0</v>
      </c>
      <c r="AA53" s="494">
        <f t="shared" ref="AA53:AA54" si="93">ROUND((U53+Y53)*33.8%,0)</f>
        <v>0</v>
      </c>
      <c r="AB53" s="55">
        <f>ROUND(U53*1%,0)</f>
        <v>0</v>
      </c>
      <c r="AC53" s="492">
        <v>0</v>
      </c>
      <c r="AD53" s="789">
        <f t="shared" ref="AD53:AD54" si="94">Z53+AA53+AB53+AC53</f>
        <v>0</v>
      </c>
      <c r="AE53" s="715">
        <v>0</v>
      </c>
      <c r="AF53" s="326">
        <v>0</v>
      </c>
      <c r="AG53" s="326">
        <v>0</v>
      </c>
      <c r="AH53" s="326">
        <v>0</v>
      </c>
      <c r="AI53" s="326">
        <v>0</v>
      </c>
      <c r="AJ53" s="326">
        <v>0</v>
      </c>
      <c r="AK53" s="626">
        <f t="shared" ref="AK53:AK54" si="95">SUM(AE53:AJ53)</f>
        <v>0</v>
      </c>
      <c r="AL53" s="493">
        <f>I53+AD53</f>
        <v>3512093</v>
      </c>
      <c r="AM53" s="492">
        <f>J53+U53</f>
        <v>2605410</v>
      </c>
      <c r="AN53" s="492">
        <f t="shared" ref="AN53:AN54" si="96">Y53</f>
        <v>0</v>
      </c>
      <c r="AO53" s="492">
        <f>K53+AA53</f>
        <v>880629</v>
      </c>
      <c r="AP53" s="492">
        <f>L53+AB53</f>
        <v>26054</v>
      </c>
      <c r="AQ53" s="492">
        <f t="shared" ref="AQ53:AQ54" si="97">M53+AC53</f>
        <v>0</v>
      </c>
      <c r="AR53" s="491">
        <f t="shared" ref="AR53:AR54" si="98">N53+AK53</f>
        <v>4</v>
      </c>
    </row>
    <row r="54" spans="1:44" x14ac:dyDescent="0.2">
      <c r="A54" s="136">
        <v>11</v>
      </c>
      <c r="B54" s="137">
        <v>3430</v>
      </c>
      <c r="C54" s="137">
        <v>600078183</v>
      </c>
      <c r="D54" s="137">
        <v>72744405</v>
      </c>
      <c r="E54" s="135" t="s">
        <v>100</v>
      </c>
      <c r="F54" s="137">
        <v>3111</v>
      </c>
      <c r="G54" s="138" t="s">
        <v>278</v>
      </c>
      <c r="H54" s="563" t="s">
        <v>263</v>
      </c>
      <c r="I54" s="586">
        <f>SUM(J54:L54)</f>
        <v>0</v>
      </c>
      <c r="J54" s="490">
        <v>0</v>
      </c>
      <c r="K54" s="431">
        <f t="shared" si="88"/>
        <v>0</v>
      </c>
      <c r="L54" s="431">
        <f t="shared" si="89"/>
        <v>0</v>
      </c>
      <c r="M54" s="431">
        <v>0</v>
      </c>
      <c r="N54" s="631">
        <v>0</v>
      </c>
      <c r="O54" s="440">
        <f>V54*-1</f>
        <v>0</v>
      </c>
      <c r="P54" s="325">
        <v>694483</v>
      </c>
      <c r="Q54" s="325">
        <v>0</v>
      </c>
      <c r="R54" s="325">
        <v>0</v>
      </c>
      <c r="S54" s="325">
        <v>0</v>
      </c>
      <c r="T54" s="325">
        <v>0</v>
      </c>
      <c r="U54" s="492">
        <f t="shared" si="90"/>
        <v>694483</v>
      </c>
      <c r="V54" s="325">
        <v>0</v>
      </c>
      <c r="W54" s="325">
        <v>0</v>
      </c>
      <c r="X54" s="325">
        <v>0</v>
      </c>
      <c r="Y54" s="492">
        <f t="shared" si="91"/>
        <v>0</v>
      </c>
      <c r="Z54" s="492">
        <f t="shared" si="92"/>
        <v>694483</v>
      </c>
      <c r="AA54" s="494">
        <f t="shared" si="93"/>
        <v>234735</v>
      </c>
      <c r="AB54" s="55">
        <f>ROUND(U54*1%,0)</f>
        <v>6945</v>
      </c>
      <c r="AC54" s="492">
        <v>0</v>
      </c>
      <c r="AD54" s="789">
        <f t="shared" si="94"/>
        <v>936163</v>
      </c>
      <c r="AE54" s="715">
        <v>0</v>
      </c>
      <c r="AF54" s="326">
        <v>1.75</v>
      </c>
      <c r="AG54" s="326">
        <v>0</v>
      </c>
      <c r="AH54" s="326">
        <v>0</v>
      </c>
      <c r="AI54" s="326">
        <v>0</v>
      </c>
      <c r="AJ54" s="326">
        <v>0</v>
      </c>
      <c r="AK54" s="626">
        <f t="shared" si="95"/>
        <v>1.75</v>
      </c>
      <c r="AL54" s="493">
        <f>I54+AD54</f>
        <v>936163</v>
      </c>
      <c r="AM54" s="492">
        <f>J54+U54</f>
        <v>694483</v>
      </c>
      <c r="AN54" s="492">
        <f t="shared" si="96"/>
        <v>0</v>
      </c>
      <c r="AO54" s="492">
        <f>K54+AA54</f>
        <v>234735</v>
      </c>
      <c r="AP54" s="492">
        <f>L54+AB54</f>
        <v>6945</v>
      </c>
      <c r="AQ54" s="492">
        <f t="shared" si="97"/>
        <v>0</v>
      </c>
      <c r="AR54" s="491">
        <f t="shared" si="98"/>
        <v>1.75</v>
      </c>
    </row>
    <row r="55" spans="1:44" x14ac:dyDescent="0.2">
      <c r="A55" s="107">
        <v>11</v>
      </c>
      <c r="B55" s="15">
        <v>3430</v>
      </c>
      <c r="C55" s="15">
        <v>600078183</v>
      </c>
      <c r="D55" s="15">
        <v>72744405</v>
      </c>
      <c r="E55" s="116" t="s">
        <v>101</v>
      </c>
      <c r="F55" s="15"/>
      <c r="G55" s="106"/>
      <c r="H55" s="560"/>
      <c r="I55" s="793">
        <f t="shared" ref="I55:AR55" si="99">SUM(I53:I54)</f>
        <v>3512093</v>
      </c>
      <c r="J55" s="341">
        <f t="shared" si="99"/>
        <v>2605410</v>
      </c>
      <c r="K55" s="341">
        <f t="shared" si="99"/>
        <v>880629</v>
      </c>
      <c r="L55" s="341">
        <f t="shared" si="99"/>
        <v>26054</v>
      </c>
      <c r="M55" s="341">
        <f t="shared" si="99"/>
        <v>0</v>
      </c>
      <c r="N55" s="36">
        <f t="shared" si="99"/>
        <v>4</v>
      </c>
      <c r="O55" s="345">
        <f t="shared" si="99"/>
        <v>0</v>
      </c>
      <c r="P55" s="341">
        <f t="shared" si="99"/>
        <v>694483</v>
      </c>
      <c r="Q55" s="341">
        <f t="shared" si="99"/>
        <v>0</v>
      </c>
      <c r="R55" s="341">
        <f t="shared" si="99"/>
        <v>0</v>
      </c>
      <c r="S55" s="341">
        <f t="shared" si="99"/>
        <v>0</v>
      </c>
      <c r="T55" s="341">
        <f t="shared" si="99"/>
        <v>0</v>
      </c>
      <c r="U55" s="341">
        <f t="shared" si="99"/>
        <v>694483</v>
      </c>
      <c r="V55" s="341">
        <f t="shared" si="99"/>
        <v>0</v>
      </c>
      <c r="W55" s="341">
        <f t="shared" si="99"/>
        <v>0</v>
      </c>
      <c r="X55" s="341">
        <f t="shared" si="99"/>
        <v>0</v>
      </c>
      <c r="Y55" s="341">
        <f t="shared" si="99"/>
        <v>0</v>
      </c>
      <c r="Z55" s="341">
        <f t="shared" si="99"/>
        <v>694483</v>
      </c>
      <c r="AA55" s="341">
        <f t="shared" si="99"/>
        <v>234735</v>
      </c>
      <c r="AB55" s="341">
        <f t="shared" si="99"/>
        <v>6945</v>
      </c>
      <c r="AC55" s="341">
        <f t="shared" si="99"/>
        <v>0</v>
      </c>
      <c r="AD55" s="798">
        <f t="shared" si="99"/>
        <v>936163</v>
      </c>
      <c r="AE55" s="802">
        <f t="shared" si="99"/>
        <v>0</v>
      </c>
      <c r="AF55" s="342">
        <f t="shared" si="99"/>
        <v>1.75</v>
      </c>
      <c r="AG55" s="342">
        <f t="shared" si="99"/>
        <v>0</v>
      </c>
      <c r="AH55" s="342">
        <f t="shared" si="99"/>
        <v>0</v>
      </c>
      <c r="AI55" s="342">
        <f t="shared" si="99"/>
        <v>0</v>
      </c>
      <c r="AJ55" s="342">
        <f t="shared" si="99"/>
        <v>0</v>
      </c>
      <c r="AK55" s="36">
        <f t="shared" si="99"/>
        <v>1.75</v>
      </c>
      <c r="AL55" s="345">
        <f t="shared" si="99"/>
        <v>4448256</v>
      </c>
      <c r="AM55" s="341">
        <f t="shared" si="99"/>
        <v>3299893</v>
      </c>
      <c r="AN55" s="341">
        <f t="shared" si="99"/>
        <v>0</v>
      </c>
      <c r="AO55" s="341">
        <f t="shared" si="99"/>
        <v>1115364</v>
      </c>
      <c r="AP55" s="341">
        <f t="shared" si="99"/>
        <v>32999</v>
      </c>
      <c r="AQ55" s="341">
        <f t="shared" si="99"/>
        <v>0</v>
      </c>
      <c r="AR55" s="342">
        <f t="shared" si="99"/>
        <v>5.75</v>
      </c>
    </row>
    <row r="56" spans="1:44" x14ac:dyDescent="0.2">
      <c r="A56" s="136">
        <v>12</v>
      </c>
      <c r="B56" s="137">
        <v>3431</v>
      </c>
      <c r="C56" s="137">
        <v>600078370</v>
      </c>
      <c r="D56" s="137">
        <v>72744162</v>
      </c>
      <c r="E56" s="135" t="s">
        <v>102</v>
      </c>
      <c r="F56" s="137">
        <v>3117</v>
      </c>
      <c r="G56" s="138" t="s">
        <v>280</v>
      </c>
      <c r="H56" s="563" t="s">
        <v>262</v>
      </c>
      <c r="I56" s="627">
        <f>SUM(J56:L56)</f>
        <v>3957793</v>
      </c>
      <c r="J56" s="559">
        <v>2936048</v>
      </c>
      <c r="K56" s="431">
        <f t="shared" ref="K56:K58" si="100">ROUND(J56*33.8%,0)</f>
        <v>992384</v>
      </c>
      <c r="L56" s="431">
        <f>ROUND(J56*1%,0)+1</f>
        <v>29361</v>
      </c>
      <c r="M56" s="431">
        <v>0</v>
      </c>
      <c r="N56" s="628">
        <v>4.17</v>
      </c>
      <c r="O56" s="445">
        <f>V56*-1</f>
        <v>-58279</v>
      </c>
      <c r="P56" s="325">
        <v>0</v>
      </c>
      <c r="Q56" s="325">
        <v>0</v>
      </c>
      <c r="R56" s="325">
        <v>0</v>
      </c>
      <c r="S56" s="325">
        <v>0</v>
      </c>
      <c r="T56" s="325">
        <v>0</v>
      </c>
      <c r="U56" s="492">
        <f t="shared" ref="U56:U58" si="101">O56+P56+Q56+R56+S56+T56</f>
        <v>-58279</v>
      </c>
      <c r="V56" s="325">
        <v>58279</v>
      </c>
      <c r="W56" s="325">
        <v>0</v>
      </c>
      <c r="X56" s="325">
        <v>0</v>
      </c>
      <c r="Y56" s="492">
        <f t="shared" ref="Y56:Y58" si="102">V56+W56+X56</f>
        <v>58279</v>
      </c>
      <c r="Z56" s="492">
        <f t="shared" ref="Z56:Z58" si="103">U56+Y56</f>
        <v>0</v>
      </c>
      <c r="AA56" s="494">
        <f t="shared" ref="AA56:AA58" si="104">ROUND((U56+Y56)*33.8%,0)</f>
        <v>0</v>
      </c>
      <c r="AB56" s="55">
        <f>ROUND(U56*1%,0)</f>
        <v>-583</v>
      </c>
      <c r="AC56" s="492">
        <v>0</v>
      </c>
      <c r="AD56" s="789">
        <f t="shared" ref="AD56:AD58" si="105">Z56+AA56+AB56+AC56</f>
        <v>-583</v>
      </c>
      <c r="AE56" s="715">
        <v>-0.1</v>
      </c>
      <c r="AF56" s="326">
        <v>0</v>
      </c>
      <c r="AG56" s="326">
        <v>0</v>
      </c>
      <c r="AH56" s="326">
        <v>0</v>
      </c>
      <c r="AI56" s="326">
        <v>0</v>
      </c>
      <c r="AJ56" s="326">
        <v>0</v>
      </c>
      <c r="AK56" s="626">
        <f t="shared" ref="AK56:AK58" si="106">SUM(AE56:AJ56)</f>
        <v>-0.1</v>
      </c>
      <c r="AL56" s="493">
        <f>I56+AD56</f>
        <v>3957210</v>
      </c>
      <c r="AM56" s="492">
        <f>J56+U56</f>
        <v>2877769</v>
      </c>
      <c r="AN56" s="492">
        <f t="shared" ref="AN56:AN58" si="107">Y56</f>
        <v>58279</v>
      </c>
      <c r="AO56" s="492">
        <f t="shared" ref="AO56:AQ58" si="108">K56+AA56</f>
        <v>992384</v>
      </c>
      <c r="AP56" s="492">
        <f t="shared" si="108"/>
        <v>28778</v>
      </c>
      <c r="AQ56" s="492">
        <f t="shared" si="108"/>
        <v>0</v>
      </c>
      <c r="AR56" s="491">
        <f t="shared" ref="AR56:AR58" si="109">N56+AK56</f>
        <v>4.07</v>
      </c>
    </row>
    <row r="57" spans="1:44" x14ac:dyDescent="0.2">
      <c r="A57" s="136">
        <v>12</v>
      </c>
      <c r="B57" s="137">
        <v>3431</v>
      </c>
      <c r="C57" s="137">
        <v>600078370</v>
      </c>
      <c r="D57" s="137">
        <v>72744162</v>
      </c>
      <c r="E57" s="135" t="s">
        <v>102</v>
      </c>
      <c r="F57" s="137">
        <v>3117</v>
      </c>
      <c r="G57" s="138" t="s">
        <v>278</v>
      </c>
      <c r="H57" s="563" t="s">
        <v>263</v>
      </c>
      <c r="I57" s="586">
        <f>SUM(J57:L57)</f>
        <v>0</v>
      </c>
      <c r="J57" s="490">
        <v>0</v>
      </c>
      <c r="K57" s="431">
        <f t="shared" si="100"/>
        <v>0</v>
      </c>
      <c r="L57" s="431">
        <f t="shared" ref="L57:L58" si="110">ROUND(J57*1%,0)</f>
        <v>0</v>
      </c>
      <c r="M57" s="431">
        <v>0</v>
      </c>
      <c r="N57" s="631">
        <v>0</v>
      </c>
      <c r="O57" s="440">
        <f>V57*-1</f>
        <v>0</v>
      </c>
      <c r="P57" s="325">
        <f>1091330+97131</f>
        <v>1188461</v>
      </c>
      <c r="Q57" s="325">
        <v>0</v>
      </c>
      <c r="R57" s="325">
        <v>0</v>
      </c>
      <c r="S57" s="325">
        <v>0</v>
      </c>
      <c r="T57" s="325">
        <v>0</v>
      </c>
      <c r="U57" s="492">
        <f t="shared" si="101"/>
        <v>1188461</v>
      </c>
      <c r="V57" s="325">
        <v>0</v>
      </c>
      <c r="W57" s="325">
        <v>0</v>
      </c>
      <c r="X57" s="325">
        <v>0</v>
      </c>
      <c r="Y57" s="492">
        <f t="shared" si="102"/>
        <v>0</v>
      </c>
      <c r="Z57" s="492">
        <f t="shared" si="103"/>
        <v>1188461</v>
      </c>
      <c r="AA57" s="494">
        <f t="shared" si="104"/>
        <v>401700</v>
      </c>
      <c r="AB57" s="55">
        <f>ROUND(U57*1%,0)</f>
        <v>11885</v>
      </c>
      <c r="AC57" s="492">
        <v>0</v>
      </c>
      <c r="AD57" s="789">
        <f t="shared" si="105"/>
        <v>1602046</v>
      </c>
      <c r="AE57" s="715">
        <v>0</v>
      </c>
      <c r="AF57" s="326">
        <f>2.75+0.18</f>
        <v>2.93</v>
      </c>
      <c r="AG57" s="326">
        <v>0</v>
      </c>
      <c r="AH57" s="326">
        <v>0</v>
      </c>
      <c r="AI57" s="326">
        <v>0</v>
      </c>
      <c r="AJ57" s="326">
        <v>0</v>
      </c>
      <c r="AK57" s="626">
        <f t="shared" si="106"/>
        <v>2.93</v>
      </c>
      <c r="AL57" s="493">
        <f>I57+AD57</f>
        <v>1602046</v>
      </c>
      <c r="AM57" s="492">
        <f>J57+U57</f>
        <v>1188461</v>
      </c>
      <c r="AN57" s="492">
        <f t="shared" si="107"/>
        <v>0</v>
      </c>
      <c r="AO57" s="492">
        <f t="shared" si="108"/>
        <v>401700</v>
      </c>
      <c r="AP57" s="492">
        <f t="shared" si="108"/>
        <v>11885</v>
      </c>
      <c r="AQ57" s="492">
        <f t="shared" si="108"/>
        <v>0</v>
      </c>
      <c r="AR57" s="491">
        <f t="shared" si="109"/>
        <v>2.93</v>
      </c>
    </row>
    <row r="58" spans="1:44" x14ac:dyDescent="0.2">
      <c r="A58" s="136">
        <v>12</v>
      </c>
      <c r="B58" s="137">
        <v>3431</v>
      </c>
      <c r="C58" s="137">
        <v>600078370</v>
      </c>
      <c r="D58" s="137">
        <v>72744162</v>
      </c>
      <c r="E58" s="135" t="s">
        <v>102</v>
      </c>
      <c r="F58" s="137">
        <v>3143</v>
      </c>
      <c r="G58" s="138" t="s">
        <v>795</v>
      </c>
      <c r="H58" s="157" t="s">
        <v>262</v>
      </c>
      <c r="I58" s="586">
        <f>SUM(J58:L58)</f>
        <v>729016</v>
      </c>
      <c r="J58" s="490">
        <v>540813</v>
      </c>
      <c r="K58" s="431">
        <f t="shared" si="100"/>
        <v>182795</v>
      </c>
      <c r="L58" s="431">
        <f t="shared" si="110"/>
        <v>5408</v>
      </c>
      <c r="M58" s="431">
        <v>0</v>
      </c>
      <c r="N58" s="631">
        <v>1</v>
      </c>
      <c r="O58" s="440">
        <f>V58*-1</f>
        <v>0</v>
      </c>
      <c r="P58" s="325">
        <v>0</v>
      </c>
      <c r="Q58" s="325">
        <v>0</v>
      </c>
      <c r="R58" s="325">
        <v>0</v>
      </c>
      <c r="S58" s="325">
        <v>0</v>
      </c>
      <c r="T58" s="325">
        <v>0</v>
      </c>
      <c r="U58" s="492">
        <f t="shared" si="101"/>
        <v>0</v>
      </c>
      <c r="V58" s="325">
        <v>0</v>
      </c>
      <c r="W58" s="325">
        <v>0</v>
      </c>
      <c r="X58" s="325">
        <v>0</v>
      </c>
      <c r="Y58" s="492">
        <f t="shared" si="102"/>
        <v>0</v>
      </c>
      <c r="Z58" s="492">
        <f t="shared" si="103"/>
        <v>0</v>
      </c>
      <c r="AA58" s="494">
        <f t="shared" si="104"/>
        <v>0</v>
      </c>
      <c r="AB58" s="55">
        <f>ROUND(U58*1%,0)</f>
        <v>0</v>
      </c>
      <c r="AC58" s="492">
        <v>0</v>
      </c>
      <c r="AD58" s="789">
        <f t="shared" si="105"/>
        <v>0</v>
      </c>
      <c r="AE58" s="715">
        <v>0</v>
      </c>
      <c r="AF58" s="326">
        <v>0</v>
      </c>
      <c r="AG58" s="326">
        <v>0</v>
      </c>
      <c r="AH58" s="326">
        <v>0</v>
      </c>
      <c r="AI58" s="326">
        <v>0</v>
      </c>
      <c r="AJ58" s="326">
        <v>0</v>
      </c>
      <c r="AK58" s="626">
        <f t="shared" si="106"/>
        <v>0</v>
      </c>
      <c r="AL58" s="493">
        <f>I58+AD58</f>
        <v>729016</v>
      </c>
      <c r="AM58" s="492">
        <f>J58+U58</f>
        <v>540813</v>
      </c>
      <c r="AN58" s="492">
        <f t="shared" si="107"/>
        <v>0</v>
      </c>
      <c r="AO58" s="492">
        <f t="shared" si="108"/>
        <v>182795</v>
      </c>
      <c r="AP58" s="492">
        <f t="shared" si="108"/>
        <v>5408</v>
      </c>
      <c r="AQ58" s="492">
        <f t="shared" si="108"/>
        <v>0</v>
      </c>
      <c r="AR58" s="491">
        <f t="shared" si="109"/>
        <v>1</v>
      </c>
    </row>
    <row r="59" spans="1:44" x14ac:dyDescent="0.2">
      <c r="A59" s="107">
        <v>12</v>
      </c>
      <c r="B59" s="15">
        <v>3431</v>
      </c>
      <c r="C59" s="15">
        <v>600078370</v>
      </c>
      <c r="D59" s="15">
        <v>72744162</v>
      </c>
      <c r="E59" s="116" t="s">
        <v>103</v>
      </c>
      <c r="F59" s="15"/>
      <c r="G59" s="106"/>
      <c r="H59" s="560"/>
      <c r="I59" s="793">
        <f t="shared" ref="I59:AR59" si="111">SUM(I56:I58)</f>
        <v>4686809</v>
      </c>
      <c r="J59" s="341">
        <f t="shared" si="111"/>
        <v>3476861</v>
      </c>
      <c r="K59" s="341">
        <f t="shared" si="111"/>
        <v>1175179</v>
      </c>
      <c r="L59" s="341">
        <f t="shared" si="111"/>
        <v>34769</v>
      </c>
      <c r="M59" s="341">
        <f t="shared" si="111"/>
        <v>0</v>
      </c>
      <c r="N59" s="36">
        <f t="shared" si="111"/>
        <v>5.17</v>
      </c>
      <c r="O59" s="345">
        <f t="shared" si="111"/>
        <v>-58279</v>
      </c>
      <c r="P59" s="341">
        <f t="shared" si="111"/>
        <v>1188461</v>
      </c>
      <c r="Q59" s="341">
        <f t="shared" si="111"/>
        <v>0</v>
      </c>
      <c r="R59" s="341">
        <f t="shared" si="111"/>
        <v>0</v>
      </c>
      <c r="S59" s="341">
        <f t="shared" si="111"/>
        <v>0</v>
      </c>
      <c r="T59" s="341">
        <f t="shared" si="111"/>
        <v>0</v>
      </c>
      <c r="U59" s="341">
        <f t="shared" si="111"/>
        <v>1130182</v>
      </c>
      <c r="V59" s="341">
        <f t="shared" si="111"/>
        <v>58279</v>
      </c>
      <c r="W59" s="341">
        <f t="shared" si="111"/>
        <v>0</v>
      </c>
      <c r="X59" s="341">
        <f t="shared" si="111"/>
        <v>0</v>
      </c>
      <c r="Y59" s="341">
        <f t="shared" si="111"/>
        <v>58279</v>
      </c>
      <c r="Z59" s="341">
        <f t="shared" si="111"/>
        <v>1188461</v>
      </c>
      <c r="AA59" s="341">
        <f t="shared" si="111"/>
        <v>401700</v>
      </c>
      <c r="AB59" s="341">
        <f t="shared" si="111"/>
        <v>11302</v>
      </c>
      <c r="AC59" s="341">
        <f t="shared" si="111"/>
        <v>0</v>
      </c>
      <c r="AD59" s="798">
        <f t="shared" si="111"/>
        <v>1601463</v>
      </c>
      <c r="AE59" s="802">
        <f t="shared" si="111"/>
        <v>-0.1</v>
      </c>
      <c r="AF59" s="342">
        <f t="shared" si="111"/>
        <v>2.93</v>
      </c>
      <c r="AG59" s="342">
        <f t="shared" si="111"/>
        <v>0</v>
      </c>
      <c r="AH59" s="342">
        <f t="shared" si="111"/>
        <v>0</v>
      </c>
      <c r="AI59" s="342">
        <f t="shared" si="111"/>
        <v>0</v>
      </c>
      <c r="AJ59" s="342">
        <f t="shared" si="111"/>
        <v>0</v>
      </c>
      <c r="AK59" s="36">
        <f t="shared" si="111"/>
        <v>2.83</v>
      </c>
      <c r="AL59" s="345">
        <f t="shared" si="111"/>
        <v>6288272</v>
      </c>
      <c r="AM59" s="341">
        <f t="shared" si="111"/>
        <v>4607043</v>
      </c>
      <c r="AN59" s="341">
        <f t="shared" si="111"/>
        <v>58279</v>
      </c>
      <c r="AO59" s="341">
        <f t="shared" si="111"/>
        <v>1576879</v>
      </c>
      <c r="AP59" s="341">
        <f t="shared" si="111"/>
        <v>46071</v>
      </c>
      <c r="AQ59" s="341">
        <f t="shared" si="111"/>
        <v>0</v>
      </c>
      <c r="AR59" s="342">
        <f t="shared" si="111"/>
        <v>8</v>
      </c>
    </row>
    <row r="60" spans="1:44" x14ac:dyDescent="0.2">
      <c r="A60" s="136">
        <v>13</v>
      </c>
      <c r="B60" s="137">
        <v>3437</v>
      </c>
      <c r="C60" s="137">
        <v>600078051</v>
      </c>
      <c r="D60" s="137">
        <v>70695377</v>
      </c>
      <c r="E60" s="135" t="s">
        <v>104</v>
      </c>
      <c r="F60" s="137">
        <v>3111</v>
      </c>
      <c r="G60" s="138" t="s">
        <v>277</v>
      </c>
      <c r="H60" s="563" t="s">
        <v>262</v>
      </c>
      <c r="I60" s="627">
        <f>SUM(J60:L60)</f>
        <v>9723117</v>
      </c>
      <c r="J60" s="559">
        <v>7212995</v>
      </c>
      <c r="K60" s="431">
        <f t="shared" ref="K60:K61" si="112">ROUND(J60*33.8%,0)</f>
        <v>2437992</v>
      </c>
      <c r="L60" s="431">
        <f t="shared" ref="L60:L61" si="113">ROUND(J60*1%,0)</f>
        <v>72130</v>
      </c>
      <c r="M60" s="431">
        <v>0</v>
      </c>
      <c r="N60" s="628">
        <v>12</v>
      </c>
      <c r="O60" s="445">
        <f>V60*-1</f>
        <v>0</v>
      </c>
      <c r="P60" s="325">
        <v>0</v>
      </c>
      <c r="Q60" s="325">
        <v>0</v>
      </c>
      <c r="R60" s="325">
        <v>0</v>
      </c>
      <c r="S60" s="325">
        <v>0</v>
      </c>
      <c r="T60" s="325">
        <v>0</v>
      </c>
      <c r="U60" s="492">
        <f t="shared" ref="U60:U61" si="114">O60+P60+Q60+R60+S60+T60</f>
        <v>0</v>
      </c>
      <c r="V60" s="325">
        <v>0</v>
      </c>
      <c r="W60" s="325">
        <v>0</v>
      </c>
      <c r="X60" s="325">
        <v>0</v>
      </c>
      <c r="Y60" s="492">
        <f t="shared" ref="Y60:Y61" si="115">V60+W60+X60</f>
        <v>0</v>
      </c>
      <c r="Z60" s="492">
        <f t="shared" ref="Z60:Z61" si="116">U60+Y60</f>
        <v>0</v>
      </c>
      <c r="AA60" s="494">
        <f t="shared" ref="AA60:AA61" si="117">ROUND((U60+Y60)*33.8%,0)</f>
        <v>0</v>
      </c>
      <c r="AB60" s="55">
        <f>ROUND(U60*1%,0)</f>
        <v>0</v>
      </c>
      <c r="AC60" s="492">
        <v>0</v>
      </c>
      <c r="AD60" s="789">
        <f t="shared" ref="AD60:AD61" si="118">Z60+AA60+AB60+AC60</f>
        <v>0</v>
      </c>
      <c r="AE60" s="715">
        <v>0</v>
      </c>
      <c r="AF60" s="326">
        <v>0</v>
      </c>
      <c r="AG60" s="326">
        <v>0</v>
      </c>
      <c r="AH60" s="326">
        <v>0</v>
      </c>
      <c r="AI60" s="326">
        <v>0</v>
      </c>
      <c r="AJ60" s="326">
        <v>0</v>
      </c>
      <c r="AK60" s="626">
        <f t="shared" ref="AK60:AK61" si="119">SUM(AE60:AJ60)</f>
        <v>0</v>
      </c>
      <c r="AL60" s="493">
        <f>I60+AD60</f>
        <v>9723117</v>
      </c>
      <c r="AM60" s="492">
        <f>J60+U60</f>
        <v>7212995</v>
      </c>
      <c r="AN60" s="492">
        <f t="shared" ref="AN60:AN61" si="120">Y60</f>
        <v>0</v>
      </c>
      <c r="AO60" s="492">
        <f>K60+AA60</f>
        <v>2437992</v>
      </c>
      <c r="AP60" s="492">
        <f>L60+AB60</f>
        <v>72130</v>
      </c>
      <c r="AQ60" s="492">
        <f t="shared" ref="AQ60:AQ61" si="121">M60+AC60</f>
        <v>0</v>
      </c>
      <c r="AR60" s="491">
        <f t="shared" ref="AR60:AR61" si="122">N60+AK60</f>
        <v>12</v>
      </c>
    </row>
    <row r="61" spans="1:44" x14ac:dyDescent="0.2">
      <c r="A61" s="136">
        <v>13</v>
      </c>
      <c r="B61" s="137">
        <v>3437</v>
      </c>
      <c r="C61" s="137">
        <v>600078051</v>
      </c>
      <c r="D61" s="137">
        <v>70695377</v>
      </c>
      <c r="E61" s="135" t="s">
        <v>104</v>
      </c>
      <c r="F61" s="137">
        <v>3111</v>
      </c>
      <c r="G61" s="138" t="s">
        <v>278</v>
      </c>
      <c r="H61" s="563" t="s">
        <v>263</v>
      </c>
      <c r="I61" s="586">
        <f>SUM(J61:L61)</f>
        <v>0</v>
      </c>
      <c r="J61" s="490">
        <v>0</v>
      </c>
      <c r="K61" s="431">
        <f t="shared" si="112"/>
        <v>0</v>
      </c>
      <c r="L61" s="431">
        <f t="shared" si="113"/>
        <v>0</v>
      </c>
      <c r="M61" s="431">
        <v>0</v>
      </c>
      <c r="N61" s="631">
        <v>0</v>
      </c>
      <c r="O61" s="440">
        <f>V61*-1</f>
        <v>0</v>
      </c>
      <c r="P61" s="325">
        <f>1354382-198424</f>
        <v>1155958</v>
      </c>
      <c r="Q61" s="325">
        <v>0</v>
      </c>
      <c r="R61" s="325">
        <v>0</v>
      </c>
      <c r="S61" s="325">
        <v>0</v>
      </c>
      <c r="T61" s="325">
        <v>0</v>
      </c>
      <c r="U61" s="492">
        <f t="shared" si="114"/>
        <v>1155958</v>
      </c>
      <c r="V61" s="325">
        <v>0</v>
      </c>
      <c r="W61" s="325">
        <v>0</v>
      </c>
      <c r="X61" s="325">
        <v>0</v>
      </c>
      <c r="Y61" s="492">
        <f t="shared" si="115"/>
        <v>0</v>
      </c>
      <c r="Z61" s="492">
        <f t="shared" si="116"/>
        <v>1155958</v>
      </c>
      <c r="AA61" s="494">
        <f t="shared" si="117"/>
        <v>390714</v>
      </c>
      <c r="AB61" s="55">
        <f>ROUND(U61*1%,0)</f>
        <v>11560</v>
      </c>
      <c r="AC61" s="492">
        <v>0</v>
      </c>
      <c r="AD61" s="789">
        <f t="shared" si="118"/>
        <v>1558232</v>
      </c>
      <c r="AE61" s="715">
        <v>0</v>
      </c>
      <c r="AF61" s="326">
        <f>3.64-0.5</f>
        <v>3.14</v>
      </c>
      <c r="AG61" s="326">
        <v>0</v>
      </c>
      <c r="AH61" s="326">
        <v>0</v>
      </c>
      <c r="AI61" s="326">
        <v>0</v>
      </c>
      <c r="AJ61" s="326">
        <v>0</v>
      </c>
      <c r="AK61" s="626">
        <f t="shared" si="119"/>
        <v>3.14</v>
      </c>
      <c r="AL61" s="493">
        <f>I61+AD61</f>
        <v>1558232</v>
      </c>
      <c r="AM61" s="492">
        <f>J61+U61</f>
        <v>1155958</v>
      </c>
      <c r="AN61" s="492">
        <f t="shared" si="120"/>
        <v>0</v>
      </c>
      <c r="AO61" s="492">
        <f>K61+AA61</f>
        <v>390714</v>
      </c>
      <c r="AP61" s="492">
        <f>L61+AB61</f>
        <v>11560</v>
      </c>
      <c r="AQ61" s="492">
        <f t="shared" si="121"/>
        <v>0</v>
      </c>
      <c r="AR61" s="491">
        <f t="shared" si="122"/>
        <v>3.14</v>
      </c>
    </row>
    <row r="62" spans="1:44" x14ac:dyDescent="0.2">
      <c r="A62" s="107">
        <v>13</v>
      </c>
      <c r="B62" s="15">
        <v>3437</v>
      </c>
      <c r="C62" s="15">
        <v>600078051</v>
      </c>
      <c r="D62" s="15">
        <v>70695377</v>
      </c>
      <c r="E62" s="116" t="s">
        <v>105</v>
      </c>
      <c r="F62" s="15"/>
      <c r="G62" s="106"/>
      <c r="H62" s="560"/>
      <c r="I62" s="794">
        <f t="shared" ref="I62:AR62" si="123">SUM(I60:I61)</f>
        <v>9723117</v>
      </c>
      <c r="J62" s="343">
        <f t="shared" si="123"/>
        <v>7212995</v>
      </c>
      <c r="K62" s="343">
        <f t="shared" si="123"/>
        <v>2437992</v>
      </c>
      <c r="L62" s="343">
        <f t="shared" si="123"/>
        <v>72130</v>
      </c>
      <c r="M62" s="343">
        <f t="shared" si="123"/>
        <v>0</v>
      </c>
      <c r="N62" s="35">
        <f t="shared" si="123"/>
        <v>12</v>
      </c>
      <c r="O62" s="346">
        <f t="shared" si="123"/>
        <v>0</v>
      </c>
      <c r="P62" s="343">
        <f t="shared" si="123"/>
        <v>1155958</v>
      </c>
      <c r="Q62" s="343">
        <f t="shared" si="123"/>
        <v>0</v>
      </c>
      <c r="R62" s="343">
        <f t="shared" si="123"/>
        <v>0</v>
      </c>
      <c r="S62" s="343">
        <f t="shared" si="123"/>
        <v>0</v>
      </c>
      <c r="T62" s="343">
        <f t="shared" si="123"/>
        <v>0</v>
      </c>
      <c r="U62" s="343">
        <f t="shared" si="123"/>
        <v>1155958</v>
      </c>
      <c r="V62" s="343">
        <f t="shared" si="123"/>
        <v>0</v>
      </c>
      <c r="W62" s="343">
        <f t="shared" si="123"/>
        <v>0</v>
      </c>
      <c r="X62" s="343">
        <f t="shared" si="123"/>
        <v>0</v>
      </c>
      <c r="Y62" s="343">
        <f t="shared" si="123"/>
        <v>0</v>
      </c>
      <c r="Z62" s="343">
        <f t="shared" si="123"/>
        <v>1155958</v>
      </c>
      <c r="AA62" s="343">
        <f t="shared" si="123"/>
        <v>390714</v>
      </c>
      <c r="AB62" s="343">
        <f t="shared" si="123"/>
        <v>11560</v>
      </c>
      <c r="AC62" s="343">
        <f t="shared" si="123"/>
        <v>0</v>
      </c>
      <c r="AD62" s="799">
        <f t="shared" si="123"/>
        <v>1558232</v>
      </c>
      <c r="AE62" s="803">
        <f t="shared" si="123"/>
        <v>0</v>
      </c>
      <c r="AF62" s="344">
        <f t="shared" si="123"/>
        <v>3.14</v>
      </c>
      <c r="AG62" s="344">
        <f t="shared" si="123"/>
        <v>0</v>
      </c>
      <c r="AH62" s="344">
        <f t="shared" si="123"/>
        <v>0</v>
      </c>
      <c r="AI62" s="344">
        <f t="shared" si="123"/>
        <v>0</v>
      </c>
      <c r="AJ62" s="344">
        <f t="shared" si="123"/>
        <v>0</v>
      </c>
      <c r="AK62" s="35">
        <f t="shared" si="123"/>
        <v>3.14</v>
      </c>
      <c r="AL62" s="346">
        <f t="shared" si="123"/>
        <v>11281349</v>
      </c>
      <c r="AM62" s="343">
        <f t="shared" si="123"/>
        <v>8368953</v>
      </c>
      <c r="AN62" s="343">
        <f t="shared" si="123"/>
        <v>0</v>
      </c>
      <c r="AO62" s="343">
        <f t="shared" si="123"/>
        <v>2828706</v>
      </c>
      <c r="AP62" s="343">
        <f t="shared" si="123"/>
        <v>83690</v>
      </c>
      <c r="AQ62" s="343">
        <f t="shared" si="123"/>
        <v>0</v>
      </c>
      <c r="AR62" s="344">
        <f t="shared" si="123"/>
        <v>15.14</v>
      </c>
    </row>
    <row r="63" spans="1:44" x14ac:dyDescent="0.2">
      <c r="A63" s="136">
        <v>14</v>
      </c>
      <c r="B63" s="137">
        <v>3436</v>
      </c>
      <c r="C63" s="137">
        <v>600078485</v>
      </c>
      <c r="D63" s="137">
        <v>70695385</v>
      </c>
      <c r="E63" s="135" t="s">
        <v>106</v>
      </c>
      <c r="F63" s="137">
        <v>3113</v>
      </c>
      <c r="G63" s="138" t="s">
        <v>280</v>
      </c>
      <c r="H63" s="563" t="s">
        <v>262</v>
      </c>
      <c r="I63" s="627">
        <f>SUM(J63:L63)</f>
        <v>23745358</v>
      </c>
      <c r="J63" s="559">
        <v>17615251</v>
      </c>
      <c r="K63" s="431">
        <f t="shared" ref="K63:K65" si="124">ROUND(J63*33.8%,0)</f>
        <v>5953955</v>
      </c>
      <c r="L63" s="431">
        <f>ROUND(J63*1%,0)-1</f>
        <v>176152</v>
      </c>
      <c r="M63" s="431">
        <v>0</v>
      </c>
      <c r="N63" s="628">
        <v>24.91</v>
      </c>
      <c r="O63" s="445">
        <f>V63*-1</f>
        <v>0</v>
      </c>
      <c r="P63" s="325">
        <v>0</v>
      </c>
      <c r="Q63" s="325">
        <v>0</v>
      </c>
      <c r="R63" s="325">
        <v>0</v>
      </c>
      <c r="S63" s="325">
        <v>0</v>
      </c>
      <c r="T63" s="325">
        <v>0</v>
      </c>
      <c r="U63" s="492">
        <f t="shared" ref="U63:U65" si="125">O63+P63+Q63+R63+S63+T63</f>
        <v>0</v>
      </c>
      <c r="V63" s="325">
        <v>0</v>
      </c>
      <c r="W63" s="325">
        <v>0</v>
      </c>
      <c r="X63" s="325">
        <v>0</v>
      </c>
      <c r="Y63" s="492">
        <f t="shared" ref="Y63:Y65" si="126">V63+W63+X63</f>
        <v>0</v>
      </c>
      <c r="Z63" s="492">
        <f t="shared" ref="Z63:Z65" si="127">U63+Y63</f>
        <v>0</v>
      </c>
      <c r="AA63" s="494">
        <f t="shared" ref="AA63:AA65" si="128">ROUND((U63+Y63)*33.8%,0)</f>
        <v>0</v>
      </c>
      <c r="AB63" s="55">
        <f>ROUND(U63*1%,0)</f>
        <v>0</v>
      </c>
      <c r="AC63" s="492">
        <v>0</v>
      </c>
      <c r="AD63" s="789">
        <f t="shared" ref="AD63:AD65" si="129">Z63+AA63+AB63+AC63</f>
        <v>0</v>
      </c>
      <c r="AE63" s="715">
        <v>0</v>
      </c>
      <c r="AF63" s="326">
        <v>0</v>
      </c>
      <c r="AG63" s="326">
        <v>0</v>
      </c>
      <c r="AH63" s="326">
        <v>0</v>
      </c>
      <c r="AI63" s="326">
        <v>0</v>
      </c>
      <c r="AJ63" s="326">
        <v>0</v>
      </c>
      <c r="AK63" s="626">
        <f t="shared" ref="AK63:AK65" si="130">SUM(AE63:AJ63)</f>
        <v>0</v>
      </c>
      <c r="AL63" s="493">
        <f>I63+AD63</f>
        <v>23745358</v>
      </c>
      <c r="AM63" s="492">
        <f>J63+U63</f>
        <v>17615251</v>
      </c>
      <c r="AN63" s="492">
        <f t="shared" ref="AN63:AN65" si="131">Y63</f>
        <v>0</v>
      </c>
      <c r="AO63" s="492">
        <f t="shared" ref="AO63:AQ65" si="132">K63+AA63</f>
        <v>5953955</v>
      </c>
      <c r="AP63" s="492">
        <f t="shared" si="132"/>
        <v>176152</v>
      </c>
      <c r="AQ63" s="492">
        <f t="shared" si="132"/>
        <v>0</v>
      </c>
      <c r="AR63" s="491">
        <f t="shared" ref="AR63:AR65" si="133">N63+AK63</f>
        <v>24.91</v>
      </c>
    </row>
    <row r="64" spans="1:44" x14ac:dyDescent="0.2">
      <c r="A64" s="136">
        <v>14</v>
      </c>
      <c r="B64" s="137">
        <v>3436</v>
      </c>
      <c r="C64" s="137">
        <v>600078485</v>
      </c>
      <c r="D64" s="137">
        <v>70695385</v>
      </c>
      <c r="E64" s="135" t="s">
        <v>106</v>
      </c>
      <c r="F64" s="137">
        <v>3113</v>
      </c>
      <c r="G64" s="138" t="s">
        <v>278</v>
      </c>
      <c r="H64" s="563" t="s">
        <v>263</v>
      </c>
      <c r="I64" s="586">
        <f>SUM(J64:L64)</f>
        <v>0</v>
      </c>
      <c r="J64" s="490">
        <v>0</v>
      </c>
      <c r="K64" s="431">
        <f t="shared" si="124"/>
        <v>0</v>
      </c>
      <c r="L64" s="431">
        <f t="shared" ref="L64:L65" si="134">ROUND(J64*1%,0)</f>
        <v>0</v>
      </c>
      <c r="M64" s="431">
        <v>0</v>
      </c>
      <c r="N64" s="631">
        <v>0</v>
      </c>
      <c r="O64" s="440">
        <f>V64*-1</f>
        <v>0</v>
      </c>
      <c r="P64" s="325">
        <v>2392120</v>
      </c>
      <c r="Q64" s="325">
        <v>0</v>
      </c>
      <c r="R64" s="325">
        <v>0</v>
      </c>
      <c r="S64" s="325">
        <v>0</v>
      </c>
      <c r="T64" s="325">
        <v>0</v>
      </c>
      <c r="U64" s="492">
        <f t="shared" si="125"/>
        <v>2392120</v>
      </c>
      <c r="V64" s="325">
        <v>0</v>
      </c>
      <c r="W64" s="325">
        <v>0</v>
      </c>
      <c r="X64" s="325">
        <v>0</v>
      </c>
      <c r="Y64" s="492">
        <f t="shared" si="126"/>
        <v>0</v>
      </c>
      <c r="Z64" s="492">
        <f t="shared" si="127"/>
        <v>2392120</v>
      </c>
      <c r="AA64" s="494">
        <f t="shared" si="128"/>
        <v>808537</v>
      </c>
      <c r="AB64" s="55">
        <f>ROUND(U64*1%,0)</f>
        <v>23921</v>
      </c>
      <c r="AC64" s="492">
        <v>0</v>
      </c>
      <c r="AD64" s="789">
        <f t="shared" si="129"/>
        <v>3224578</v>
      </c>
      <c r="AE64" s="715">
        <v>0</v>
      </c>
      <c r="AF64" s="326">
        <v>6.03</v>
      </c>
      <c r="AG64" s="326">
        <v>0</v>
      </c>
      <c r="AH64" s="326">
        <v>0</v>
      </c>
      <c r="AI64" s="326">
        <v>0</v>
      </c>
      <c r="AJ64" s="326">
        <v>0</v>
      </c>
      <c r="AK64" s="626">
        <f t="shared" si="130"/>
        <v>6.03</v>
      </c>
      <c r="AL64" s="493">
        <f>I64+AD64</f>
        <v>3224578</v>
      </c>
      <c r="AM64" s="492">
        <f>J64+U64</f>
        <v>2392120</v>
      </c>
      <c r="AN64" s="492">
        <f t="shared" si="131"/>
        <v>0</v>
      </c>
      <c r="AO64" s="492">
        <f t="shared" si="132"/>
        <v>808537</v>
      </c>
      <c r="AP64" s="492">
        <f t="shared" si="132"/>
        <v>23921</v>
      </c>
      <c r="AQ64" s="492">
        <f t="shared" si="132"/>
        <v>0</v>
      </c>
      <c r="AR64" s="491">
        <f t="shared" si="133"/>
        <v>6.03</v>
      </c>
    </row>
    <row r="65" spans="1:44" x14ac:dyDescent="0.2">
      <c r="A65" s="136">
        <v>14</v>
      </c>
      <c r="B65" s="137">
        <v>3436</v>
      </c>
      <c r="C65" s="137">
        <v>600078485</v>
      </c>
      <c r="D65" s="137">
        <v>70695385</v>
      </c>
      <c r="E65" s="135" t="s">
        <v>106</v>
      </c>
      <c r="F65" s="137">
        <v>3143</v>
      </c>
      <c r="G65" s="138" t="s">
        <v>795</v>
      </c>
      <c r="H65" s="157" t="s">
        <v>262</v>
      </c>
      <c r="I65" s="586">
        <f>SUM(J65:L65)</f>
        <v>2171612</v>
      </c>
      <c r="J65" s="490">
        <v>1610988</v>
      </c>
      <c r="K65" s="431">
        <f t="shared" si="124"/>
        <v>544514</v>
      </c>
      <c r="L65" s="431">
        <f t="shared" si="134"/>
        <v>16110</v>
      </c>
      <c r="M65" s="431">
        <v>0</v>
      </c>
      <c r="N65" s="631">
        <v>2.99</v>
      </c>
      <c r="O65" s="440">
        <f>V65*-1</f>
        <v>0</v>
      </c>
      <c r="P65" s="325">
        <v>0</v>
      </c>
      <c r="Q65" s="325">
        <v>0</v>
      </c>
      <c r="R65" s="325">
        <v>0</v>
      </c>
      <c r="S65" s="325">
        <v>0</v>
      </c>
      <c r="T65" s="325">
        <v>0</v>
      </c>
      <c r="U65" s="492">
        <f t="shared" si="125"/>
        <v>0</v>
      </c>
      <c r="V65" s="325">
        <v>0</v>
      </c>
      <c r="W65" s="325">
        <v>0</v>
      </c>
      <c r="X65" s="325">
        <v>0</v>
      </c>
      <c r="Y65" s="492">
        <f t="shared" si="126"/>
        <v>0</v>
      </c>
      <c r="Z65" s="492">
        <f t="shared" si="127"/>
        <v>0</v>
      </c>
      <c r="AA65" s="494">
        <f t="shared" si="128"/>
        <v>0</v>
      </c>
      <c r="AB65" s="55">
        <f>ROUND(U65*1%,0)</f>
        <v>0</v>
      </c>
      <c r="AC65" s="492">
        <v>0</v>
      </c>
      <c r="AD65" s="789">
        <f t="shared" si="129"/>
        <v>0</v>
      </c>
      <c r="AE65" s="715">
        <v>0</v>
      </c>
      <c r="AF65" s="326">
        <v>0</v>
      </c>
      <c r="AG65" s="326">
        <v>0</v>
      </c>
      <c r="AH65" s="326">
        <v>0</v>
      </c>
      <c r="AI65" s="326">
        <v>0</v>
      </c>
      <c r="AJ65" s="326">
        <v>0</v>
      </c>
      <c r="AK65" s="626">
        <f t="shared" si="130"/>
        <v>0</v>
      </c>
      <c r="AL65" s="493">
        <f>I65+AD65</f>
        <v>2171612</v>
      </c>
      <c r="AM65" s="492">
        <f>J65+U65</f>
        <v>1610988</v>
      </c>
      <c r="AN65" s="492">
        <f t="shared" si="131"/>
        <v>0</v>
      </c>
      <c r="AO65" s="492">
        <f t="shared" si="132"/>
        <v>544514</v>
      </c>
      <c r="AP65" s="492">
        <f t="shared" si="132"/>
        <v>16110</v>
      </c>
      <c r="AQ65" s="492">
        <f t="shared" si="132"/>
        <v>0</v>
      </c>
      <c r="AR65" s="491">
        <f t="shared" si="133"/>
        <v>2.99</v>
      </c>
    </row>
    <row r="66" spans="1:44" x14ac:dyDescent="0.2">
      <c r="A66" s="107">
        <v>14</v>
      </c>
      <c r="B66" s="15">
        <v>3436</v>
      </c>
      <c r="C66" s="15">
        <v>600078485</v>
      </c>
      <c r="D66" s="15">
        <v>70695385</v>
      </c>
      <c r="E66" s="116" t="s">
        <v>107</v>
      </c>
      <c r="F66" s="15"/>
      <c r="G66" s="106"/>
      <c r="H66" s="560"/>
      <c r="I66" s="793">
        <f t="shared" ref="I66:AR66" si="135">SUM(I63:I65)</f>
        <v>25916970</v>
      </c>
      <c r="J66" s="341">
        <f t="shared" si="135"/>
        <v>19226239</v>
      </c>
      <c r="K66" s="341">
        <f t="shared" si="135"/>
        <v>6498469</v>
      </c>
      <c r="L66" s="341">
        <f t="shared" si="135"/>
        <v>192262</v>
      </c>
      <c r="M66" s="341">
        <f t="shared" si="135"/>
        <v>0</v>
      </c>
      <c r="N66" s="36">
        <f t="shared" si="135"/>
        <v>27.9</v>
      </c>
      <c r="O66" s="345">
        <f t="shared" si="135"/>
        <v>0</v>
      </c>
      <c r="P66" s="341">
        <f t="shared" si="135"/>
        <v>2392120</v>
      </c>
      <c r="Q66" s="341">
        <f t="shared" si="135"/>
        <v>0</v>
      </c>
      <c r="R66" s="341">
        <f t="shared" si="135"/>
        <v>0</v>
      </c>
      <c r="S66" s="341">
        <f t="shared" si="135"/>
        <v>0</v>
      </c>
      <c r="T66" s="341">
        <f t="shared" si="135"/>
        <v>0</v>
      </c>
      <c r="U66" s="341">
        <f t="shared" si="135"/>
        <v>2392120</v>
      </c>
      <c r="V66" s="341">
        <f t="shared" si="135"/>
        <v>0</v>
      </c>
      <c r="W66" s="341">
        <f t="shared" si="135"/>
        <v>0</v>
      </c>
      <c r="X66" s="341">
        <f t="shared" si="135"/>
        <v>0</v>
      </c>
      <c r="Y66" s="341">
        <f t="shared" si="135"/>
        <v>0</v>
      </c>
      <c r="Z66" s="341">
        <f t="shared" si="135"/>
        <v>2392120</v>
      </c>
      <c r="AA66" s="341">
        <f t="shared" si="135"/>
        <v>808537</v>
      </c>
      <c r="AB66" s="341">
        <f t="shared" si="135"/>
        <v>23921</v>
      </c>
      <c r="AC66" s="341">
        <f t="shared" si="135"/>
        <v>0</v>
      </c>
      <c r="AD66" s="798">
        <f t="shared" si="135"/>
        <v>3224578</v>
      </c>
      <c r="AE66" s="802">
        <f t="shared" si="135"/>
        <v>0</v>
      </c>
      <c r="AF66" s="342">
        <f t="shared" si="135"/>
        <v>6.03</v>
      </c>
      <c r="AG66" s="342">
        <f t="shared" si="135"/>
        <v>0</v>
      </c>
      <c r="AH66" s="342">
        <f t="shared" si="135"/>
        <v>0</v>
      </c>
      <c r="AI66" s="342">
        <f t="shared" si="135"/>
        <v>0</v>
      </c>
      <c r="AJ66" s="342">
        <f t="shared" si="135"/>
        <v>0</v>
      </c>
      <c r="AK66" s="36">
        <f t="shared" si="135"/>
        <v>6.03</v>
      </c>
      <c r="AL66" s="345">
        <f t="shared" si="135"/>
        <v>29141548</v>
      </c>
      <c r="AM66" s="341">
        <f t="shared" si="135"/>
        <v>21618359</v>
      </c>
      <c r="AN66" s="341">
        <f t="shared" si="135"/>
        <v>0</v>
      </c>
      <c r="AO66" s="341">
        <f t="shared" si="135"/>
        <v>7307006</v>
      </c>
      <c r="AP66" s="341">
        <f t="shared" si="135"/>
        <v>216183</v>
      </c>
      <c r="AQ66" s="341">
        <f t="shared" si="135"/>
        <v>0</v>
      </c>
      <c r="AR66" s="342">
        <f t="shared" si="135"/>
        <v>33.93</v>
      </c>
    </row>
    <row r="67" spans="1:44" x14ac:dyDescent="0.2">
      <c r="A67" s="136">
        <v>15</v>
      </c>
      <c r="B67" s="137">
        <v>3442</v>
      </c>
      <c r="C67" s="137">
        <v>600078205</v>
      </c>
      <c r="D67" s="137">
        <v>72743638</v>
      </c>
      <c r="E67" s="135" t="s">
        <v>796</v>
      </c>
      <c r="F67" s="137">
        <v>3111</v>
      </c>
      <c r="G67" s="138" t="s">
        <v>277</v>
      </c>
      <c r="H67" s="563" t="s">
        <v>262</v>
      </c>
      <c r="I67" s="627">
        <f>SUM(J67:L67)</f>
        <v>9382777</v>
      </c>
      <c r="J67" s="559">
        <v>6960517</v>
      </c>
      <c r="K67" s="431">
        <f t="shared" ref="K67:K68" si="136">ROUND(J67*33.8%,0)</f>
        <v>2352655</v>
      </c>
      <c r="L67" s="431">
        <f t="shared" ref="L67:L68" si="137">ROUND(J67*1%,0)</f>
        <v>69605</v>
      </c>
      <c r="M67" s="431">
        <v>0</v>
      </c>
      <c r="N67" s="628">
        <v>12</v>
      </c>
      <c r="O67" s="445">
        <f>V67*-1</f>
        <v>0</v>
      </c>
      <c r="P67" s="325">
        <v>0</v>
      </c>
      <c r="Q67" s="325">
        <v>0</v>
      </c>
      <c r="R67" s="325">
        <v>0</v>
      </c>
      <c r="S67" s="325">
        <v>0</v>
      </c>
      <c r="T67" s="325">
        <v>0</v>
      </c>
      <c r="U67" s="492">
        <f t="shared" ref="U67:U68" si="138">O67+P67+Q67+R67+S67+T67</f>
        <v>0</v>
      </c>
      <c r="V67" s="325">
        <v>0</v>
      </c>
      <c r="W67" s="325">
        <v>0</v>
      </c>
      <c r="X67" s="325">
        <v>0</v>
      </c>
      <c r="Y67" s="492">
        <f t="shared" ref="Y67:Y68" si="139">V67+W67+X67</f>
        <v>0</v>
      </c>
      <c r="Z67" s="492">
        <f t="shared" ref="Z67:Z68" si="140">U67+Y67</f>
        <v>0</v>
      </c>
      <c r="AA67" s="494">
        <f t="shared" ref="AA67:AA68" si="141">ROUND((U67+Y67)*33.8%,0)</f>
        <v>0</v>
      </c>
      <c r="AB67" s="55">
        <f>ROUND(U67*1%,0)</f>
        <v>0</v>
      </c>
      <c r="AC67" s="492">
        <v>0</v>
      </c>
      <c r="AD67" s="789">
        <f t="shared" ref="AD67:AD68" si="142">Z67+AA67+AB67+AC67</f>
        <v>0</v>
      </c>
      <c r="AE67" s="715">
        <v>0</v>
      </c>
      <c r="AF67" s="326">
        <v>0</v>
      </c>
      <c r="AG67" s="326">
        <v>0</v>
      </c>
      <c r="AH67" s="326">
        <v>0</v>
      </c>
      <c r="AI67" s="326">
        <v>0</v>
      </c>
      <c r="AJ67" s="326">
        <v>0</v>
      </c>
      <c r="AK67" s="626">
        <f t="shared" ref="AK67:AK68" si="143">SUM(AE67:AJ67)</f>
        <v>0</v>
      </c>
      <c r="AL67" s="493">
        <f>I67+AD67</f>
        <v>9382777</v>
      </c>
      <c r="AM67" s="492">
        <f>J67+U67</f>
        <v>6960517</v>
      </c>
      <c r="AN67" s="492">
        <f t="shared" ref="AN67:AN68" si="144">Y67</f>
        <v>0</v>
      </c>
      <c r="AO67" s="492">
        <f>K67+AA67</f>
        <v>2352655</v>
      </c>
      <c r="AP67" s="492">
        <f>L67+AB67</f>
        <v>69605</v>
      </c>
      <c r="AQ67" s="492">
        <f t="shared" ref="AQ67:AQ68" si="145">M67+AC67</f>
        <v>0</v>
      </c>
      <c r="AR67" s="491">
        <f t="shared" ref="AR67:AR68" si="146">N67+AK67</f>
        <v>12</v>
      </c>
    </row>
    <row r="68" spans="1:44" x14ac:dyDescent="0.2">
      <c r="A68" s="136">
        <v>15</v>
      </c>
      <c r="B68" s="137">
        <v>3442</v>
      </c>
      <c r="C68" s="137">
        <v>600078205</v>
      </c>
      <c r="D68" s="137">
        <v>72743638</v>
      </c>
      <c r="E68" s="135" t="s">
        <v>778</v>
      </c>
      <c r="F68" s="137">
        <v>3111</v>
      </c>
      <c r="G68" s="138" t="s">
        <v>278</v>
      </c>
      <c r="H68" s="563" t="s">
        <v>263</v>
      </c>
      <c r="I68" s="586">
        <f>SUM(J68:L68)</f>
        <v>0</v>
      </c>
      <c r="J68" s="490">
        <v>0</v>
      </c>
      <c r="K68" s="431">
        <f t="shared" si="136"/>
        <v>0</v>
      </c>
      <c r="L68" s="431">
        <f t="shared" si="137"/>
        <v>0</v>
      </c>
      <c r="M68" s="431">
        <v>0</v>
      </c>
      <c r="N68" s="631">
        <v>0</v>
      </c>
      <c r="O68" s="440">
        <f>V68*-1</f>
        <v>0</v>
      </c>
      <c r="P68" s="325">
        <v>1741723</v>
      </c>
      <c r="Q68" s="325">
        <v>0</v>
      </c>
      <c r="R68" s="325">
        <v>0</v>
      </c>
      <c r="S68" s="325">
        <v>0</v>
      </c>
      <c r="T68" s="325">
        <v>0</v>
      </c>
      <c r="U68" s="492">
        <f t="shared" si="138"/>
        <v>1741723</v>
      </c>
      <c r="V68" s="325">
        <v>0</v>
      </c>
      <c r="W68" s="325">
        <v>0</v>
      </c>
      <c r="X68" s="325">
        <v>0</v>
      </c>
      <c r="Y68" s="492">
        <f t="shared" si="139"/>
        <v>0</v>
      </c>
      <c r="Z68" s="492">
        <f t="shared" si="140"/>
        <v>1741723</v>
      </c>
      <c r="AA68" s="494">
        <f t="shared" si="141"/>
        <v>588702</v>
      </c>
      <c r="AB68" s="55">
        <f>ROUND(U68*1%,0)</f>
        <v>17417</v>
      </c>
      <c r="AC68" s="492">
        <v>0</v>
      </c>
      <c r="AD68" s="789">
        <f t="shared" si="142"/>
        <v>2347842</v>
      </c>
      <c r="AE68" s="715">
        <v>0</v>
      </c>
      <c r="AF68" s="326">
        <v>4.3899999999999997</v>
      </c>
      <c r="AG68" s="326">
        <v>0</v>
      </c>
      <c r="AH68" s="326">
        <v>0</v>
      </c>
      <c r="AI68" s="326">
        <v>0</v>
      </c>
      <c r="AJ68" s="326">
        <v>0</v>
      </c>
      <c r="AK68" s="626">
        <f t="shared" si="143"/>
        <v>4.3899999999999997</v>
      </c>
      <c r="AL68" s="493">
        <f>I68+AD68</f>
        <v>2347842</v>
      </c>
      <c r="AM68" s="492">
        <f>J68+U68</f>
        <v>1741723</v>
      </c>
      <c r="AN68" s="492">
        <f t="shared" si="144"/>
        <v>0</v>
      </c>
      <c r="AO68" s="492">
        <f>K68+AA68</f>
        <v>588702</v>
      </c>
      <c r="AP68" s="492">
        <f>L68+AB68</f>
        <v>17417</v>
      </c>
      <c r="AQ68" s="492">
        <f t="shared" si="145"/>
        <v>0</v>
      </c>
      <c r="AR68" s="491">
        <f t="shared" si="146"/>
        <v>4.3899999999999997</v>
      </c>
    </row>
    <row r="69" spans="1:44" x14ac:dyDescent="0.2">
      <c r="A69" s="107">
        <v>15</v>
      </c>
      <c r="B69" s="15">
        <v>3442</v>
      </c>
      <c r="C69" s="15">
        <v>600078205</v>
      </c>
      <c r="D69" s="15">
        <v>72743638</v>
      </c>
      <c r="E69" s="116" t="s">
        <v>108</v>
      </c>
      <c r="F69" s="15"/>
      <c r="G69" s="106"/>
      <c r="H69" s="560"/>
      <c r="I69" s="794">
        <f t="shared" ref="I69:AR69" si="147">SUM(I67:I68)</f>
        <v>9382777</v>
      </c>
      <c r="J69" s="343">
        <f t="shared" si="147"/>
        <v>6960517</v>
      </c>
      <c r="K69" s="343">
        <f t="shared" si="147"/>
        <v>2352655</v>
      </c>
      <c r="L69" s="343">
        <f t="shared" si="147"/>
        <v>69605</v>
      </c>
      <c r="M69" s="343">
        <f t="shared" si="147"/>
        <v>0</v>
      </c>
      <c r="N69" s="35">
        <f t="shared" si="147"/>
        <v>12</v>
      </c>
      <c r="O69" s="346">
        <f t="shared" si="147"/>
        <v>0</v>
      </c>
      <c r="P69" s="343">
        <f t="shared" si="147"/>
        <v>1741723</v>
      </c>
      <c r="Q69" s="343">
        <f t="shared" si="147"/>
        <v>0</v>
      </c>
      <c r="R69" s="343">
        <f t="shared" si="147"/>
        <v>0</v>
      </c>
      <c r="S69" s="343">
        <f t="shared" si="147"/>
        <v>0</v>
      </c>
      <c r="T69" s="343">
        <f t="shared" si="147"/>
        <v>0</v>
      </c>
      <c r="U69" s="343">
        <f t="shared" si="147"/>
        <v>1741723</v>
      </c>
      <c r="V69" s="343">
        <f t="shared" si="147"/>
        <v>0</v>
      </c>
      <c r="W69" s="343">
        <f t="shared" si="147"/>
        <v>0</v>
      </c>
      <c r="X69" s="343">
        <f t="shared" si="147"/>
        <v>0</v>
      </c>
      <c r="Y69" s="343">
        <f t="shared" si="147"/>
        <v>0</v>
      </c>
      <c r="Z69" s="343">
        <f t="shared" si="147"/>
        <v>1741723</v>
      </c>
      <c r="AA69" s="343">
        <f t="shared" si="147"/>
        <v>588702</v>
      </c>
      <c r="AB69" s="343">
        <f t="shared" si="147"/>
        <v>17417</v>
      </c>
      <c r="AC69" s="343">
        <f t="shared" si="147"/>
        <v>0</v>
      </c>
      <c r="AD69" s="799">
        <f t="shared" si="147"/>
        <v>2347842</v>
      </c>
      <c r="AE69" s="803">
        <f t="shared" si="147"/>
        <v>0</v>
      </c>
      <c r="AF69" s="344">
        <f t="shared" si="147"/>
        <v>4.3899999999999997</v>
      </c>
      <c r="AG69" s="344">
        <f t="shared" si="147"/>
        <v>0</v>
      </c>
      <c r="AH69" s="344">
        <f t="shared" si="147"/>
        <v>0</v>
      </c>
      <c r="AI69" s="344">
        <f t="shared" si="147"/>
        <v>0</v>
      </c>
      <c r="AJ69" s="344">
        <f t="shared" si="147"/>
        <v>0</v>
      </c>
      <c r="AK69" s="35">
        <f t="shared" si="147"/>
        <v>4.3899999999999997</v>
      </c>
      <c r="AL69" s="346">
        <f t="shared" si="147"/>
        <v>11730619</v>
      </c>
      <c r="AM69" s="343">
        <f t="shared" si="147"/>
        <v>8702240</v>
      </c>
      <c r="AN69" s="343">
        <f t="shared" si="147"/>
        <v>0</v>
      </c>
      <c r="AO69" s="343">
        <f t="shared" si="147"/>
        <v>2941357</v>
      </c>
      <c r="AP69" s="343">
        <f t="shared" si="147"/>
        <v>87022</v>
      </c>
      <c r="AQ69" s="343">
        <f t="shared" si="147"/>
        <v>0</v>
      </c>
      <c r="AR69" s="344">
        <f t="shared" si="147"/>
        <v>16.39</v>
      </c>
    </row>
    <row r="70" spans="1:44" x14ac:dyDescent="0.2">
      <c r="A70" s="136">
        <v>16</v>
      </c>
      <c r="B70" s="137">
        <v>3452</v>
      </c>
      <c r="C70" s="137">
        <v>600078264</v>
      </c>
      <c r="D70" s="137">
        <v>72743557</v>
      </c>
      <c r="E70" s="135" t="s">
        <v>779</v>
      </c>
      <c r="F70" s="137">
        <v>3113</v>
      </c>
      <c r="G70" s="138" t="s">
        <v>280</v>
      </c>
      <c r="H70" s="563" t="s">
        <v>262</v>
      </c>
      <c r="I70" s="586">
        <f>SUM(J70:L70)</f>
        <v>18832311</v>
      </c>
      <c r="J70" s="490">
        <v>13970557</v>
      </c>
      <c r="K70" s="431">
        <f t="shared" ref="K70:K73" si="148">ROUND(J70*33.8%,0)</f>
        <v>4722048</v>
      </c>
      <c r="L70" s="431">
        <f t="shared" ref="L70:L73" si="149">ROUND(J70*1%,0)</f>
        <v>139706</v>
      </c>
      <c r="M70" s="431">
        <v>0</v>
      </c>
      <c r="N70" s="631">
        <v>20.170000000000002</v>
      </c>
      <c r="O70" s="440">
        <f>V70*-1</f>
        <v>-63000</v>
      </c>
      <c r="P70" s="325">
        <v>0</v>
      </c>
      <c r="Q70" s="325">
        <v>0</v>
      </c>
      <c r="R70" s="325">
        <v>0</v>
      </c>
      <c r="S70" s="325">
        <v>0</v>
      </c>
      <c r="T70" s="325">
        <v>0</v>
      </c>
      <c r="U70" s="492">
        <f t="shared" ref="U70:U73" si="150">O70+P70+Q70+R70+S70+T70</f>
        <v>-63000</v>
      </c>
      <c r="V70" s="325">
        <v>63000</v>
      </c>
      <c r="W70" s="325">
        <v>27800</v>
      </c>
      <c r="X70" s="325">
        <v>0</v>
      </c>
      <c r="Y70" s="492">
        <f t="shared" ref="Y70:Y73" si="151">V70+W70+X70</f>
        <v>90800</v>
      </c>
      <c r="Z70" s="492">
        <f t="shared" ref="Z70:Z73" si="152">U70+Y70</f>
        <v>27800</v>
      </c>
      <c r="AA70" s="494">
        <f t="shared" ref="AA70:AA73" si="153">ROUND((U70+Y70)*33.8%,0)</f>
        <v>9396</v>
      </c>
      <c r="AB70" s="55">
        <f>ROUND(U70*1%,0)</f>
        <v>-630</v>
      </c>
      <c r="AC70" s="492">
        <v>0</v>
      </c>
      <c r="AD70" s="789">
        <f t="shared" ref="AD70:AD73" si="154">Z70+AA70+AB70+AC70</f>
        <v>36566</v>
      </c>
      <c r="AE70" s="715">
        <v>-0.04</v>
      </c>
      <c r="AF70" s="326">
        <v>0</v>
      </c>
      <c r="AG70" s="326">
        <v>0</v>
      </c>
      <c r="AH70" s="326">
        <v>0</v>
      </c>
      <c r="AI70" s="326">
        <v>0</v>
      </c>
      <c r="AJ70" s="326">
        <v>0</v>
      </c>
      <c r="AK70" s="626">
        <f t="shared" ref="AK70:AK73" si="155">SUM(AE70:AJ70)</f>
        <v>-0.04</v>
      </c>
      <c r="AL70" s="493">
        <f>I70+AD70</f>
        <v>18868877</v>
      </c>
      <c r="AM70" s="492">
        <f>J70+U70</f>
        <v>13907557</v>
      </c>
      <c r="AN70" s="492">
        <f t="shared" ref="AN70:AN73" si="156">Y70</f>
        <v>90800</v>
      </c>
      <c r="AO70" s="492">
        <f t="shared" ref="AO70:AQ73" si="157">K70+AA70</f>
        <v>4731444</v>
      </c>
      <c r="AP70" s="492">
        <f t="shared" si="157"/>
        <v>139076</v>
      </c>
      <c r="AQ70" s="492">
        <f t="shared" si="157"/>
        <v>0</v>
      </c>
      <c r="AR70" s="491">
        <f t="shared" ref="AR70:AR73" si="158">N70+AK70</f>
        <v>20.130000000000003</v>
      </c>
    </row>
    <row r="71" spans="1:44" x14ac:dyDescent="0.2">
      <c r="A71" s="136">
        <v>16</v>
      </c>
      <c r="B71" s="137">
        <v>3452</v>
      </c>
      <c r="C71" s="137">
        <v>600078264</v>
      </c>
      <c r="D71" s="137">
        <v>72743557</v>
      </c>
      <c r="E71" s="135" t="s">
        <v>779</v>
      </c>
      <c r="F71" s="137">
        <v>3113</v>
      </c>
      <c r="G71" s="138" t="s">
        <v>799</v>
      </c>
      <c r="H71" s="563" t="s">
        <v>262</v>
      </c>
      <c r="I71" s="586">
        <f>SUM(J71:L71)</f>
        <v>333703</v>
      </c>
      <c r="J71" s="490">
        <v>247554</v>
      </c>
      <c r="K71" s="431">
        <f t="shared" si="148"/>
        <v>83673</v>
      </c>
      <c r="L71" s="431">
        <f t="shared" si="149"/>
        <v>2476</v>
      </c>
      <c r="M71" s="431">
        <v>0</v>
      </c>
      <c r="N71" s="631">
        <v>0.5</v>
      </c>
      <c r="O71" s="440">
        <f>V71*-1</f>
        <v>0</v>
      </c>
      <c r="P71" s="325">
        <v>0</v>
      </c>
      <c r="Q71" s="325">
        <v>0</v>
      </c>
      <c r="R71" s="325">
        <v>0</v>
      </c>
      <c r="S71" s="325">
        <v>0</v>
      </c>
      <c r="T71" s="325">
        <v>0</v>
      </c>
      <c r="U71" s="492">
        <f t="shared" si="150"/>
        <v>0</v>
      </c>
      <c r="V71" s="325">
        <v>0</v>
      </c>
      <c r="W71" s="325">
        <v>0</v>
      </c>
      <c r="X71" s="325">
        <v>0</v>
      </c>
      <c r="Y71" s="492">
        <f t="shared" si="151"/>
        <v>0</v>
      </c>
      <c r="Z71" s="492">
        <f t="shared" si="152"/>
        <v>0</v>
      </c>
      <c r="AA71" s="494">
        <f t="shared" si="153"/>
        <v>0</v>
      </c>
      <c r="AB71" s="55">
        <f>ROUND(U71*1%,0)</f>
        <v>0</v>
      </c>
      <c r="AC71" s="492">
        <v>0</v>
      </c>
      <c r="AD71" s="789">
        <f t="shared" si="154"/>
        <v>0</v>
      </c>
      <c r="AE71" s="715">
        <v>0</v>
      </c>
      <c r="AF71" s="326">
        <v>0</v>
      </c>
      <c r="AG71" s="326">
        <v>0</v>
      </c>
      <c r="AH71" s="326">
        <v>0</v>
      </c>
      <c r="AI71" s="326">
        <v>0</v>
      </c>
      <c r="AJ71" s="326">
        <v>0</v>
      </c>
      <c r="AK71" s="626">
        <f t="shared" si="155"/>
        <v>0</v>
      </c>
      <c r="AL71" s="493">
        <f>I71+AD71</f>
        <v>333703</v>
      </c>
      <c r="AM71" s="492">
        <f>J71+U71</f>
        <v>247554</v>
      </c>
      <c r="AN71" s="492">
        <f t="shared" si="156"/>
        <v>0</v>
      </c>
      <c r="AO71" s="492">
        <f t="shared" si="157"/>
        <v>83673</v>
      </c>
      <c r="AP71" s="492">
        <f t="shared" si="157"/>
        <v>2476</v>
      </c>
      <c r="AQ71" s="492">
        <f t="shared" si="157"/>
        <v>0</v>
      </c>
      <c r="AR71" s="491">
        <f t="shared" si="158"/>
        <v>0.5</v>
      </c>
    </row>
    <row r="72" spans="1:44" x14ac:dyDescent="0.2">
      <c r="A72" s="136">
        <v>16</v>
      </c>
      <c r="B72" s="137">
        <v>3452</v>
      </c>
      <c r="C72" s="137">
        <v>600078264</v>
      </c>
      <c r="D72" s="137">
        <v>72743557</v>
      </c>
      <c r="E72" s="135" t="s">
        <v>779</v>
      </c>
      <c r="F72" s="137">
        <v>3113</v>
      </c>
      <c r="G72" s="138" t="s">
        <v>278</v>
      </c>
      <c r="H72" s="563" t="s">
        <v>263</v>
      </c>
      <c r="I72" s="586">
        <f>SUM(J72:L72)</f>
        <v>0</v>
      </c>
      <c r="J72" s="490">
        <v>0</v>
      </c>
      <c r="K72" s="431">
        <f t="shared" si="148"/>
        <v>0</v>
      </c>
      <c r="L72" s="431">
        <f t="shared" si="149"/>
        <v>0</v>
      </c>
      <c r="M72" s="431">
        <v>0</v>
      </c>
      <c r="N72" s="631">
        <v>0</v>
      </c>
      <c r="O72" s="440">
        <f>V72*-1</f>
        <v>0</v>
      </c>
      <c r="P72" s="325">
        <f>3478782-80330</f>
        <v>3398452</v>
      </c>
      <c r="Q72" s="325">
        <v>0</v>
      </c>
      <c r="R72" s="325">
        <v>0</v>
      </c>
      <c r="S72" s="325">
        <v>0</v>
      </c>
      <c r="T72" s="325">
        <v>0</v>
      </c>
      <c r="U72" s="492">
        <f t="shared" si="150"/>
        <v>3398452</v>
      </c>
      <c r="V72" s="325">
        <v>0</v>
      </c>
      <c r="W72" s="325">
        <v>0</v>
      </c>
      <c r="X72" s="325">
        <v>0</v>
      </c>
      <c r="Y72" s="492">
        <f t="shared" si="151"/>
        <v>0</v>
      </c>
      <c r="Z72" s="492">
        <f t="shared" si="152"/>
        <v>3398452</v>
      </c>
      <c r="AA72" s="494">
        <f t="shared" si="153"/>
        <v>1148677</v>
      </c>
      <c r="AB72" s="55">
        <f>ROUND(U72*1%,0)</f>
        <v>33985</v>
      </c>
      <c r="AC72" s="492">
        <v>0</v>
      </c>
      <c r="AD72" s="789">
        <f t="shared" si="154"/>
        <v>4581114</v>
      </c>
      <c r="AE72" s="715">
        <v>0</v>
      </c>
      <c r="AF72" s="326">
        <f>8.53+0.01</f>
        <v>8.5399999999999991</v>
      </c>
      <c r="AG72" s="326">
        <v>0</v>
      </c>
      <c r="AH72" s="326">
        <v>0</v>
      </c>
      <c r="AI72" s="326">
        <v>0</v>
      </c>
      <c r="AJ72" s="326">
        <v>0</v>
      </c>
      <c r="AK72" s="626">
        <f t="shared" si="155"/>
        <v>8.5399999999999991</v>
      </c>
      <c r="AL72" s="493">
        <f>I72+AD72</f>
        <v>4581114</v>
      </c>
      <c r="AM72" s="492">
        <f>J72+U72</f>
        <v>3398452</v>
      </c>
      <c r="AN72" s="492">
        <f t="shared" si="156"/>
        <v>0</v>
      </c>
      <c r="AO72" s="492">
        <f t="shared" si="157"/>
        <v>1148677</v>
      </c>
      <c r="AP72" s="492">
        <f t="shared" si="157"/>
        <v>33985</v>
      </c>
      <c r="AQ72" s="492">
        <f t="shared" si="157"/>
        <v>0</v>
      </c>
      <c r="AR72" s="491">
        <f t="shared" si="158"/>
        <v>8.5399999999999991</v>
      </c>
    </row>
    <row r="73" spans="1:44" x14ac:dyDescent="0.2">
      <c r="A73" s="136">
        <v>16</v>
      </c>
      <c r="B73" s="137">
        <v>3452</v>
      </c>
      <c r="C73" s="137">
        <v>600078264</v>
      </c>
      <c r="D73" s="137">
        <v>72743557</v>
      </c>
      <c r="E73" s="135" t="s">
        <v>779</v>
      </c>
      <c r="F73" s="137">
        <v>3143</v>
      </c>
      <c r="G73" s="138" t="s">
        <v>794</v>
      </c>
      <c r="H73" s="157" t="s">
        <v>262</v>
      </c>
      <c r="I73" s="586">
        <f>SUM(J73:L73)</f>
        <v>1956948</v>
      </c>
      <c r="J73" s="490">
        <v>1451742</v>
      </c>
      <c r="K73" s="431">
        <f t="shared" si="148"/>
        <v>490689</v>
      </c>
      <c r="L73" s="431">
        <f t="shared" si="149"/>
        <v>14517</v>
      </c>
      <c r="M73" s="431">
        <v>0</v>
      </c>
      <c r="N73" s="631">
        <v>2.79</v>
      </c>
      <c r="O73" s="440">
        <f>V73*-1</f>
        <v>-6000</v>
      </c>
      <c r="P73" s="325">
        <v>0</v>
      </c>
      <c r="Q73" s="325">
        <v>0</v>
      </c>
      <c r="R73" s="325">
        <v>0</v>
      </c>
      <c r="S73" s="325">
        <v>0</v>
      </c>
      <c r="T73" s="325">
        <v>0</v>
      </c>
      <c r="U73" s="492">
        <f t="shared" si="150"/>
        <v>-6000</v>
      </c>
      <c r="V73" s="325">
        <v>6000</v>
      </c>
      <c r="W73" s="325">
        <v>0</v>
      </c>
      <c r="X73" s="325">
        <v>0</v>
      </c>
      <c r="Y73" s="492">
        <f t="shared" si="151"/>
        <v>6000</v>
      </c>
      <c r="Z73" s="492">
        <f t="shared" si="152"/>
        <v>0</v>
      </c>
      <c r="AA73" s="494">
        <f t="shared" si="153"/>
        <v>0</v>
      </c>
      <c r="AB73" s="55">
        <f>ROUND(U73*1%,0)</f>
        <v>-60</v>
      </c>
      <c r="AC73" s="492">
        <v>0</v>
      </c>
      <c r="AD73" s="789">
        <f t="shared" si="154"/>
        <v>-60</v>
      </c>
      <c r="AE73" s="715">
        <v>0</v>
      </c>
      <c r="AF73" s="326">
        <v>0</v>
      </c>
      <c r="AG73" s="326">
        <v>0</v>
      </c>
      <c r="AH73" s="326">
        <v>0</v>
      </c>
      <c r="AI73" s="326">
        <v>0</v>
      </c>
      <c r="AJ73" s="326">
        <v>0</v>
      </c>
      <c r="AK73" s="626">
        <f t="shared" si="155"/>
        <v>0</v>
      </c>
      <c r="AL73" s="493">
        <f>I73+AD73</f>
        <v>1956888</v>
      </c>
      <c r="AM73" s="492">
        <f>J73+U73</f>
        <v>1445742</v>
      </c>
      <c r="AN73" s="492">
        <f t="shared" si="156"/>
        <v>6000</v>
      </c>
      <c r="AO73" s="492">
        <f t="shared" si="157"/>
        <v>490689</v>
      </c>
      <c r="AP73" s="492">
        <f t="shared" si="157"/>
        <v>14457</v>
      </c>
      <c r="AQ73" s="492">
        <f t="shared" si="157"/>
        <v>0</v>
      </c>
      <c r="AR73" s="491">
        <f t="shared" si="158"/>
        <v>2.79</v>
      </c>
    </row>
    <row r="74" spans="1:44" x14ac:dyDescent="0.2">
      <c r="A74" s="107">
        <v>16</v>
      </c>
      <c r="B74" s="15">
        <v>3452</v>
      </c>
      <c r="C74" s="15">
        <v>600078264</v>
      </c>
      <c r="D74" s="15">
        <v>72743557</v>
      </c>
      <c r="E74" s="116" t="s">
        <v>109</v>
      </c>
      <c r="F74" s="15"/>
      <c r="G74" s="106"/>
      <c r="H74" s="560"/>
      <c r="I74" s="794">
        <f t="shared" ref="I74:AR74" si="159">SUM(I70:I73)</f>
        <v>21122962</v>
      </c>
      <c r="J74" s="343">
        <f t="shared" si="159"/>
        <v>15669853</v>
      </c>
      <c r="K74" s="343">
        <f t="shared" si="159"/>
        <v>5296410</v>
      </c>
      <c r="L74" s="343">
        <f t="shared" si="159"/>
        <v>156699</v>
      </c>
      <c r="M74" s="343">
        <f t="shared" si="159"/>
        <v>0</v>
      </c>
      <c r="N74" s="35">
        <f t="shared" si="159"/>
        <v>23.46</v>
      </c>
      <c r="O74" s="346">
        <f t="shared" si="159"/>
        <v>-69000</v>
      </c>
      <c r="P74" s="343">
        <f t="shared" si="159"/>
        <v>3398452</v>
      </c>
      <c r="Q74" s="343">
        <f t="shared" si="159"/>
        <v>0</v>
      </c>
      <c r="R74" s="343">
        <f t="shared" si="159"/>
        <v>0</v>
      </c>
      <c r="S74" s="343">
        <f t="shared" si="159"/>
        <v>0</v>
      </c>
      <c r="T74" s="343">
        <f t="shared" si="159"/>
        <v>0</v>
      </c>
      <c r="U74" s="343">
        <f t="shared" si="159"/>
        <v>3329452</v>
      </c>
      <c r="V74" s="343">
        <f t="shared" si="159"/>
        <v>69000</v>
      </c>
      <c r="W74" s="343">
        <f t="shared" si="159"/>
        <v>27800</v>
      </c>
      <c r="X74" s="343">
        <f t="shared" si="159"/>
        <v>0</v>
      </c>
      <c r="Y74" s="343">
        <f t="shared" si="159"/>
        <v>96800</v>
      </c>
      <c r="Z74" s="343">
        <f t="shared" si="159"/>
        <v>3426252</v>
      </c>
      <c r="AA74" s="343">
        <f t="shared" si="159"/>
        <v>1158073</v>
      </c>
      <c r="AB74" s="343">
        <f t="shared" si="159"/>
        <v>33295</v>
      </c>
      <c r="AC74" s="343">
        <f t="shared" si="159"/>
        <v>0</v>
      </c>
      <c r="AD74" s="799">
        <f t="shared" si="159"/>
        <v>4617620</v>
      </c>
      <c r="AE74" s="803">
        <f t="shared" si="159"/>
        <v>-0.04</v>
      </c>
      <c r="AF74" s="344">
        <f t="shared" si="159"/>
        <v>8.5399999999999991</v>
      </c>
      <c r="AG74" s="344">
        <f t="shared" si="159"/>
        <v>0</v>
      </c>
      <c r="AH74" s="344">
        <f t="shared" si="159"/>
        <v>0</v>
      </c>
      <c r="AI74" s="344">
        <f t="shared" si="159"/>
        <v>0</v>
      </c>
      <c r="AJ74" s="344">
        <f t="shared" si="159"/>
        <v>0</v>
      </c>
      <c r="AK74" s="35">
        <f t="shared" si="159"/>
        <v>8.5</v>
      </c>
      <c r="AL74" s="346">
        <f t="shared" si="159"/>
        <v>25740582</v>
      </c>
      <c r="AM74" s="343">
        <f t="shared" si="159"/>
        <v>18999305</v>
      </c>
      <c r="AN74" s="343">
        <f t="shared" si="159"/>
        <v>96800</v>
      </c>
      <c r="AO74" s="343">
        <f t="shared" si="159"/>
        <v>6454483</v>
      </c>
      <c r="AP74" s="343">
        <f t="shared" si="159"/>
        <v>189994</v>
      </c>
      <c r="AQ74" s="343">
        <f t="shared" si="159"/>
        <v>0</v>
      </c>
      <c r="AR74" s="344">
        <f t="shared" si="159"/>
        <v>31.96</v>
      </c>
    </row>
    <row r="75" spans="1:44" x14ac:dyDescent="0.2">
      <c r="A75" s="136">
        <v>17</v>
      </c>
      <c r="B75" s="137">
        <v>3445</v>
      </c>
      <c r="C75" s="137">
        <v>600078604</v>
      </c>
      <c r="D75" s="137">
        <v>70695849</v>
      </c>
      <c r="E75" s="135" t="s">
        <v>110</v>
      </c>
      <c r="F75" s="137">
        <v>3111</v>
      </c>
      <c r="G75" s="138" t="s">
        <v>277</v>
      </c>
      <c r="H75" s="563" t="s">
        <v>262</v>
      </c>
      <c r="I75" s="627">
        <f>SUM(J75:L75)</f>
        <v>1597619</v>
      </c>
      <c r="J75" s="559">
        <v>1185177</v>
      </c>
      <c r="K75" s="431">
        <f t="shared" ref="K75:K78" si="160">ROUND(J75*33.8%,0)</f>
        <v>400590</v>
      </c>
      <c r="L75" s="431">
        <f t="shared" ref="L75:L78" si="161">ROUND(J75*1%,0)</f>
        <v>11852</v>
      </c>
      <c r="M75" s="431">
        <v>0</v>
      </c>
      <c r="N75" s="628">
        <v>2</v>
      </c>
      <c r="O75" s="445">
        <f>V75*-1</f>
        <v>0</v>
      </c>
      <c r="P75" s="325">
        <v>0</v>
      </c>
      <c r="Q75" s="325">
        <v>0</v>
      </c>
      <c r="R75" s="325">
        <v>0</v>
      </c>
      <c r="S75" s="325">
        <v>0</v>
      </c>
      <c r="T75" s="325">
        <v>0</v>
      </c>
      <c r="U75" s="492">
        <f t="shared" ref="U75:U78" si="162">O75+P75+Q75+R75+S75+T75</f>
        <v>0</v>
      </c>
      <c r="V75" s="325">
        <v>0</v>
      </c>
      <c r="W75" s="325">
        <v>0</v>
      </c>
      <c r="X75" s="325">
        <v>0</v>
      </c>
      <c r="Y75" s="492">
        <f t="shared" ref="Y75:Y78" si="163">V75+W75+X75</f>
        <v>0</v>
      </c>
      <c r="Z75" s="492">
        <f t="shared" ref="Z75:Z78" si="164">U75+Y75</f>
        <v>0</v>
      </c>
      <c r="AA75" s="494">
        <f t="shared" ref="AA75:AA78" si="165">ROUND((U75+Y75)*33.8%,0)</f>
        <v>0</v>
      </c>
      <c r="AB75" s="55">
        <f>ROUND(U75*1%,0)</f>
        <v>0</v>
      </c>
      <c r="AC75" s="492">
        <v>0</v>
      </c>
      <c r="AD75" s="789">
        <f t="shared" ref="AD75:AD78" si="166">Z75+AA75+AB75+AC75</f>
        <v>0</v>
      </c>
      <c r="AE75" s="715">
        <v>0</v>
      </c>
      <c r="AF75" s="326">
        <v>0</v>
      </c>
      <c r="AG75" s="326">
        <v>0</v>
      </c>
      <c r="AH75" s="326">
        <v>0</v>
      </c>
      <c r="AI75" s="326">
        <v>0</v>
      </c>
      <c r="AJ75" s="326">
        <v>0</v>
      </c>
      <c r="AK75" s="626">
        <f t="shared" ref="AK75:AK78" si="167">SUM(AE75:AJ75)</f>
        <v>0</v>
      </c>
      <c r="AL75" s="493">
        <f>I75+AD75</f>
        <v>1597619</v>
      </c>
      <c r="AM75" s="492">
        <f>J75+U75</f>
        <v>1185177</v>
      </c>
      <c r="AN75" s="492">
        <f t="shared" ref="AN75:AN78" si="168">Y75</f>
        <v>0</v>
      </c>
      <c r="AO75" s="492">
        <f t="shared" ref="AO75:AQ78" si="169">K75+AA75</f>
        <v>400590</v>
      </c>
      <c r="AP75" s="492">
        <f t="shared" si="169"/>
        <v>11852</v>
      </c>
      <c r="AQ75" s="492">
        <f t="shared" si="169"/>
        <v>0</v>
      </c>
      <c r="AR75" s="491">
        <f t="shared" ref="AR75:AR78" si="170">N75+AK75</f>
        <v>2</v>
      </c>
    </row>
    <row r="76" spans="1:44" x14ac:dyDescent="0.2">
      <c r="A76" s="136">
        <v>17</v>
      </c>
      <c r="B76" s="137">
        <v>3445</v>
      </c>
      <c r="C76" s="137">
        <v>600078604</v>
      </c>
      <c r="D76" s="137">
        <v>70695849</v>
      </c>
      <c r="E76" s="135" t="s">
        <v>110</v>
      </c>
      <c r="F76" s="137">
        <v>3117</v>
      </c>
      <c r="G76" s="138" t="s">
        <v>280</v>
      </c>
      <c r="H76" s="563" t="s">
        <v>262</v>
      </c>
      <c r="I76" s="586">
        <f>SUM(J76:L76)</f>
        <v>2132113</v>
      </c>
      <c r="J76" s="490">
        <v>1581686</v>
      </c>
      <c r="K76" s="431">
        <f t="shared" si="160"/>
        <v>534610</v>
      </c>
      <c r="L76" s="431">
        <f t="shared" si="161"/>
        <v>15817</v>
      </c>
      <c r="M76" s="431">
        <v>0</v>
      </c>
      <c r="N76" s="631">
        <v>2.36</v>
      </c>
      <c r="O76" s="440">
        <f>V76*-1</f>
        <v>0</v>
      </c>
      <c r="P76" s="325">
        <v>0</v>
      </c>
      <c r="Q76" s="325">
        <v>0</v>
      </c>
      <c r="R76" s="325">
        <v>0</v>
      </c>
      <c r="S76" s="325">
        <v>0</v>
      </c>
      <c r="T76" s="325">
        <v>0</v>
      </c>
      <c r="U76" s="492">
        <f t="shared" si="162"/>
        <v>0</v>
      </c>
      <c r="V76" s="325">
        <v>0</v>
      </c>
      <c r="W76" s="325">
        <v>0</v>
      </c>
      <c r="X76" s="325">
        <v>0</v>
      </c>
      <c r="Y76" s="492">
        <f t="shared" si="163"/>
        <v>0</v>
      </c>
      <c r="Z76" s="492">
        <f t="shared" si="164"/>
        <v>0</v>
      </c>
      <c r="AA76" s="494">
        <f t="shared" si="165"/>
        <v>0</v>
      </c>
      <c r="AB76" s="55">
        <f>ROUND(U76*1%,0)</f>
        <v>0</v>
      </c>
      <c r="AC76" s="492">
        <v>0</v>
      </c>
      <c r="AD76" s="789">
        <f t="shared" si="166"/>
        <v>0</v>
      </c>
      <c r="AE76" s="715">
        <v>0</v>
      </c>
      <c r="AF76" s="326">
        <v>0</v>
      </c>
      <c r="AG76" s="326">
        <v>0</v>
      </c>
      <c r="AH76" s="326">
        <v>0</v>
      </c>
      <c r="AI76" s="326">
        <v>0</v>
      </c>
      <c r="AJ76" s="326">
        <v>0</v>
      </c>
      <c r="AK76" s="626">
        <f t="shared" si="167"/>
        <v>0</v>
      </c>
      <c r="AL76" s="493">
        <f>I76+AD76</f>
        <v>2132113</v>
      </c>
      <c r="AM76" s="492">
        <f>J76+U76</f>
        <v>1581686</v>
      </c>
      <c r="AN76" s="492">
        <f t="shared" si="168"/>
        <v>0</v>
      </c>
      <c r="AO76" s="492">
        <f t="shared" si="169"/>
        <v>534610</v>
      </c>
      <c r="AP76" s="492">
        <f t="shared" si="169"/>
        <v>15817</v>
      </c>
      <c r="AQ76" s="492">
        <f t="shared" si="169"/>
        <v>0</v>
      </c>
      <c r="AR76" s="491">
        <f t="shared" si="170"/>
        <v>2.36</v>
      </c>
    </row>
    <row r="77" spans="1:44" x14ac:dyDescent="0.2">
      <c r="A77" s="136">
        <v>17</v>
      </c>
      <c r="B77" s="137">
        <v>3445</v>
      </c>
      <c r="C77" s="137">
        <v>600078604</v>
      </c>
      <c r="D77" s="137">
        <v>70695849</v>
      </c>
      <c r="E77" s="135" t="s">
        <v>110</v>
      </c>
      <c r="F77" s="137">
        <v>3117</v>
      </c>
      <c r="G77" s="138" t="s">
        <v>278</v>
      </c>
      <c r="H77" s="563" t="s">
        <v>263</v>
      </c>
      <c r="I77" s="586">
        <f>SUM(J77:L77)</f>
        <v>0</v>
      </c>
      <c r="J77" s="490">
        <v>0</v>
      </c>
      <c r="K77" s="431">
        <f t="shared" si="160"/>
        <v>0</v>
      </c>
      <c r="L77" s="431">
        <f t="shared" si="161"/>
        <v>0</v>
      </c>
      <c r="M77" s="431">
        <v>0</v>
      </c>
      <c r="N77" s="631">
        <v>0</v>
      </c>
      <c r="O77" s="440">
        <f>V77*-1</f>
        <v>0</v>
      </c>
      <c r="P77" s="325">
        <v>79471</v>
      </c>
      <c r="Q77" s="325">
        <v>0</v>
      </c>
      <c r="R77" s="325">
        <v>0</v>
      </c>
      <c r="S77" s="325">
        <v>0</v>
      </c>
      <c r="T77" s="325">
        <v>0</v>
      </c>
      <c r="U77" s="492">
        <f t="shared" si="162"/>
        <v>79471</v>
      </c>
      <c r="V77" s="325">
        <v>0</v>
      </c>
      <c r="W77" s="325">
        <v>0</v>
      </c>
      <c r="X77" s="325">
        <v>0</v>
      </c>
      <c r="Y77" s="492">
        <f t="shared" si="163"/>
        <v>0</v>
      </c>
      <c r="Z77" s="492">
        <f t="shared" si="164"/>
        <v>79471</v>
      </c>
      <c r="AA77" s="494">
        <f t="shared" si="165"/>
        <v>26861</v>
      </c>
      <c r="AB77" s="55">
        <f>ROUND(U77*1%,0)</f>
        <v>795</v>
      </c>
      <c r="AC77" s="492">
        <v>0</v>
      </c>
      <c r="AD77" s="789">
        <f t="shared" si="166"/>
        <v>107127</v>
      </c>
      <c r="AE77" s="715">
        <v>0</v>
      </c>
      <c r="AF77" s="326">
        <v>0.15</v>
      </c>
      <c r="AG77" s="326">
        <v>0</v>
      </c>
      <c r="AH77" s="326">
        <v>0</v>
      </c>
      <c r="AI77" s="326">
        <v>0</v>
      </c>
      <c r="AJ77" s="326">
        <v>0</v>
      </c>
      <c r="AK77" s="626">
        <f t="shared" si="167"/>
        <v>0.15</v>
      </c>
      <c r="AL77" s="493">
        <f>I77+AD77</f>
        <v>107127</v>
      </c>
      <c r="AM77" s="492">
        <f>J77+U77</f>
        <v>79471</v>
      </c>
      <c r="AN77" s="492">
        <f t="shared" si="168"/>
        <v>0</v>
      </c>
      <c r="AO77" s="492">
        <f t="shared" si="169"/>
        <v>26861</v>
      </c>
      <c r="AP77" s="492">
        <f t="shared" si="169"/>
        <v>795</v>
      </c>
      <c r="AQ77" s="492">
        <f t="shared" si="169"/>
        <v>0</v>
      </c>
      <c r="AR77" s="491">
        <f t="shared" si="170"/>
        <v>0.15</v>
      </c>
    </row>
    <row r="78" spans="1:44" s="3" customFormat="1" x14ac:dyDescent="0.2">
      <c r="A78" s="136">
        <v>17</v>
      </c>
      <c r="B78" s="137">
        <v>3445</v>
      </c>
      <c r="C78" s="137">
        <v>600078604</v>
      </c>
      <c r="D78" s="137">
        <v>70695849</v>
      </c>
      <c r="E78" s="135" t="s">
        <v>110</v>
      </c>
      <c r="F78" s="137">
        <v>3143</v>
      </c>
      <c r="G78" s="138" t="s">
        <v>795</v>
      </c>
      <c r="H78" s="157" t="s">
        <v>262</v>
      </c>
      <c r="I78" s="586">
        <f>SUM(J78:L78)</f>
        <v>593810</v>
      </c>
      <c r="J78" s="490">
        <v>440512</v>
      </c>
      <c r="K78" s="431">
        <f t="shared" si="160"/>
        <v>148893</v>
      </c>
      <c r="L78" s="431">
        <f t="shared" si="161"/>
        <v>4405</v>
      </c>
      <c r="M78" s="431">
        <v>0</v>
      </c>
      <c r="N78" s="631">
        <v>0.88</v>
      </c>
      <c r="O78" s="440">
        <f>V78*-1</f>
        <v>0</v>
      </c>
      <c r="P78" s="325">
        <v>0</v>
      </c>
      <c r="Q78" s="325">
        <v>0</v>
      </c>
      <c r="R78" s="325">
        <v>0</v>
      </c>
      <c r="S78" s="325">
        <v>0</v>
      </c>
      <c r="T78" s="325">
        <v>0</v>
      </c>
      <c r="U78" s="492">
        <f t="shared" si="162"/>
        <v>0</v>
      </c>
      <c r="V78" s="325">
        <v>0</v>
      </c>
      <c r="W78" s="325">
        <v>0</v>
      </c>
      <c r="X78" s="325">
        <v>0</v>
      </c>
      <c r="Y78" s="492">
        <f t="shared" si="163"/>
        <v>0</v>
      </c>
      <c r="Z78" s="492">
        <f t="shared" si="164"/>
        <v>0</v>
      </c>
      <c r="AA78" s="494">
        <f t="shared" si="165"/>
        <v>0</v>
      </c>
      <c r="AB78" s="55">
        <f>ROUND(U78*1%,0)</f>
        <v>0</v>
      </c>
      <c r="AC78" s="492">
        <v>0</v>
      </c>
      <c r="AD78" s="789">
        <f t="shared" si="166"/>
        <v>0</v>
      </c>
      <c r="AE78" s="715">
        <v>0</v>
      </c>
      <c r="AF78" s="326">
        <v>0</v>
      </c>
      <c r="AG78" s="326">
        <v>0</v>
      </c>
      <c r="AH78" s="326">
        <v>0</v>
      </c>
      <c r="AI78" s="326">
        <v>0</v>
      </c>
      <c r="AJ78" s="326">
        <v>0</v>
      </c>
      <c r="AK78" s="626">
        <f t="shared" si="167"/>
        <v>0</v>
      </c>
      <c r="AL78" s="493">
        <f>I78+AD78</f>
        <v>593810</v>
      </c>
      <c r="AM78" s="492">
        <f>J78+U78</f>
        <v>440512</v>
      </c>
      <c r="AN78" s="492">
        <f t="shared" si="168"/>
        <v>0</v>
      </c>
      <c r="AO78" s="492">
        <f t="shared" si="169"/>
        <v>148893</v>
      </c>
      <c r="AP78" s="492">
        <f t="shared" si="169"/>
        <v>4405</v>
      </c>
      <c r="AQ78" s="492">
        <f t="shared" si="169"/>
        <v>0</v>
      </c>
      <c r="AR78" s="491">
        <f t="shared" si="170"/>
        <v>0.88</v>
      </c>
    </row>
    <row r="79" spans="1:44" ht="13.5" thickBot="1" x14ac:dyDescent="0.25">
      <c r="A79" s="111">
        <v>17</v>
      </c>
      <c r="B79" s="30">
        <v>3445</v>
      </c>
      <c r="C79" s="30">
        <v>600078604</v>
      </c>
      <c r="D79" s="30">
        <v>70695849</v>
      </c>
      <c r="E79" s="165" t="s">
        <v>111</v>
      </c>
      <c r="F79" s="30"/>
      <c r="G79" s="112"/>
      <c r="H79" s="561"/>
      <c r="I79" s="795">
        <f t="shared" ref="I79:AR79" si="171">SUM(I75:I78)</f>
        <v>4323542</v>
      </c>
      <c r="J79" s="347">
        <f t="shared" si="171"/>
        <v>3207375</v>
      </c>
      <c r="K79" s="347">
        <f t="shared" si="171"/>
        <v>1084093</v>
      </c>
      <c r="L79" s="347">
        <f t="shared" si="171"/>
        <v>32074</v>
      </c>
      <c r="M79" s="347">
        <f t="shared" si="171"/>
        <v>0</v>
      </c>
      <c r="N79" s="796">
        <f t="shared" si="171"/>
        <v>5.2399999999999993</v>
      </c>
      <c r="O79" s="797">
        <f t="shared" si="171"/>
        <v>0</v>
      </c>
      <c r="P79" s="454">
        <f t="shared" si="171"/>
        <v>79471</v>
      </c>
      <c r="Q79" s="454">
        <f t="shared" si="171"/>
        <v>0</v>
      </c>
      <c r="R79" s="454">
        <f t="shared" si="171"/>
        <v>0</v>
      </c>
      <c r="S79" s="454">
        <f t="shared" si="171"/>
        <v>0</v>
      </c>
      <c r="T79" s="454">
        <f t="shared" si="171"/>
        <v>0</v>
      </c>
      <c r="U79" s="454">
        <f t="shared" si="171"/>
        <v>79471</v>
      </c>
      <c r="V79" s="454">
        <f t="shared" si="171"/>
        <v>0</v>
      </c>
      <c r="W79" s="454">
        <f t="shared" si="171"/>
        <v>0</v>
      </c>
      <c r="X79" s="454">
        <f t="shared" si="171"/>
        <v>0</v>
      </c>
      <c r="Y79" s="454">
        <f t="shared" si="171"/>
        <v>0</v>
      </c>
      <c r="Z79" s="454">
        <f t="shared" si="171"/>
        <v>79471</v>
      </c>
      <c r="AA79" s="454">
        <f t="shared" si="171"/>
        <v>26861</v>
      </c>
      <c r="AB79" s="454">
        <f t="shared" si="171"/>
        <v>795</v>
      </c>
      <c r="AC79" s="454">
        <f t="shared" si="171"/>
        <v>0</v>
      </c>
      <c r="AD79" s="800">
        <f t="shared" si="171"/>
        <v>107127</v>
      </c>
      <c r="AE79" s="804">
        <f t="shared" si="171"/>
        <v>0</v>
      </c>
      <c r="AF79" s="459">
        <f t="shared" si="171"/>
        <v>0.15</v>
      </c>
      <c r="AG79" s="459">
        <f t="shared" si="171"/>
        <v>0</v>
      </c>
      <c r="AH79" s="459">
        <f t="shared" si="171"/>
        <v>0</v>
      </c>
      <c r="AI79" s="459">
        <f t="shared" si="171"/>
        <v>0</v>
      </c>
      <c r="AJ79" s="459">
        <f t="shared" si="171"/>
        <v>0</v>
      </c>
      <c r="AK79" s="460">
        <f t="shared" si="171"/>
        <v>0.15</v>
      </c>
      <c r="AL79" s="447">
        <f t="shared" si="171"/>
        <v>4430669</v>
      </c>
      <c r="AM79" s="347">
        <f t="shared" si="171"/>
        <v>3286846</v>
      </c>
      <c r="AN79" s="347">
        <f t="shared" si="171"/>
        <v>0</v>
      </c>
      <c r="AO79" s="347">
        <f t="shared" si="171"/>
        <v>1110954</v>
      </c>
      <c r="AP79" s="347">
        <f t="shared" si="171"/>
        <v>32869</v>
      </c>
      <c r="AQ79" s="347">
        <f t="shared" si="171"/>
        <v>0</v>
      </c>
      <c r="AR79" s="348">
        <f t="shared" si="171"/>
        <v>5.39</v>
      </c>
    </row>
    <row r="80" spans="1:44" ht="13.5" thickBot="1" x14ac:dyDescent="0.25">
      <c r="A80" s="113"/>
      <c r="B80" s="27"/>
      <c r="C80" s="27"/>
      <c r="D80" s="27"/>
      <c r="E80" s="57" t="s">
        <v>727</v>
      </c>
      <c r="F80" s="27"/>
      <c r="G80" s="114"/>
      <c r="H80" s="603"/>
      <c r="I80" s="349">
        <f t="shared" ref="I80:AR80" si="172">I14+I16+I22+I27+I29+I34+I40+I43+I47+I52+I55+I59+I62+I66+I69+I74+I79</f>
        <v>219814232</v>
      </c>
      <c r="J80" s="612">
        <f t="shared" si="172"/>
        <v>163066937</v>
      </c>
      <c r="K80" s="612">
        <f t="shared" si="172"/>
        <v>55116625</v>
      </c>
      <c r="L80" s="612">
        <f t="shared" si="172"/>
        <v>1630670</v>
      </c>
      <c r="M80" s="612">
        <f t="shared" si="172"/>
        <v>0</v>
      </c>
      <c r="N80" s="613">
        <f t="shared" si="172"/>
        <v>250.16</v>
      </c>
      <c r="O80" s="452">
        <f t="shared" si="172"/>
        <v>-491479</v>
      </c>
      <c r="P80" s="452">
        <f t="shared" si="172"/>
        <v>28200401</v>
      </c>
      <c r="Q80" s="452">
        <f t="shared" si="172"/>
        <v>68110</v>
      </c>
      <c r="R80" s="452">
        <f t="shared" si="172"/>
        <v>0</v>
      </c>
      <c r="S80" s="452">
        <f t="shared" si="172"/>
        <v>0</v>
      </c>
      <c r="T80" s="452">
        <f t="shared" si="172"/>
        <v>0</v>
      </c>
      <c r="U80" s="452">
        <f t="shared" si="172"/>
        <v>27777032</v>
      </c>
      <c r="V80" s="452">
        <f t="shared" si="172"/>
        <v>491479</v>
      </c>
      <c r="W80" s="452">
        <f t="shared" si="172"/>
        <v>224960</v>
      </c>
      <c r="X80" s="452">
        <f t="shared" si="172"/>
        <v>0</v>
      </c>
      <c r="Y80" s="452">
        <f t="shared" si="172"/>
        <v>716439</v>
      </c>
      <c r="Z80" s="452">
        <f t="shared" si="172"/>
        <v>28493471</v>
      </c>
      <c r="AA80" s="452">
        <f t="shared" si="172"/>
        <v>9630794</v>
      </c>
      <c r="AB80" s="452">
        <f t="shared" si="172"/>
        <v>277770</v>
      </c>
      <c r="AC80" s="452">
        <f t="shared" si="172"/>
        <v>0</v>
      </c>
      <c r="AD80" s="801">
        <f t="shared" si="172"/>
        <v>38402035</v>
      </c>
      <c r="AE80" s="805">
        <f t="shared" si="172"/>
        <v>-0.36</v>
      </c>
      <c r="AF80" s="453">
        <f t="shared" si="172"/>
        <v>70.360000000000014</v>
      </c>
      <c r="AG80" s="453">
        <f t="shared" si="172"/>
        <v>0</v>
      </c>
      <c r="AH80" s="453">
        <f t="shared" si="172"/>
        <v>0.1</v>
      </c>
      <c r="AI80" s="453">
        <f t="shared" si="172"/>
        <v>0</v>
      </c>
      <c r="AJ80" s="453">
        <f t="shared" si="172"/>
        <v>0</v>
      </c>
      <c r="AK80" s="806">
        <f t="shared" si="172"/>
        <v>70.099999999999994</v>
      </c>
      <c r="AL80" s="350">
        <f t="shared" si="172"/>
        <v>258216267</v>
      </c>
      <c r="AM80" s="350">
        <f t="shared" si="172"/>
        <v>190843969</v>
      </c>
      <c r="AN80" s="350">
        <f t="shared" si="172"/>
        <v>716439</v>
      </c>
      <c r="AO80" s="350">
        <f t="shared" si="172"/>
        <v>64747419</v>
      </c>
      <c r="AP80" s="350">
        <f t="shared" si="172"/>
        <v>1908440</v>
      </c>
      <c r="AQ80" s="350">
        <f t="shared" si="172"/>
        <v>0</v>
      </c>
      <c r="AR80" s="418">
        <f t="shared" si="172"/>
        <v>320.25999999999993</v>
      </c>
    </row>
    <row r="81" spans="4:44" x14ac:dyDescent="0.2">
      <c r="D81" s="8"/>
      <c r="E81" s="4"/>
      <c r="F81" s="8"/>
      <c r="G81" s="17"/>
      <c r="H81" s="4"/>
      <c r="I81" s="328">
        <f>SUM(J80:M80)</f>
        <v>219814232</v>
      </c>
      <c r="J81" s="328"/>
      <c r="K81" s="328"/>
      <c r="L81" s="328"/>
      <c r="M81" s="328"/>
      <c r="N81" s="742"/>
      <c r="O81" s="328">
        <f>V80</f>
        <v>491479</v>
      </c>
      <c r="P81" s="329"/>
      <c r="Q81" s="329"/>
      <c r="R81" s="329"/>
      <c r="S81" s="328"/>
      <c r="T81" s="329"/>
      <c r="U81" s="330">
        <f>SUM(O80:T80)</f>
        <v>27777032</v>
      </c>
      <c r="V81" s="330">
        <f>O80</f>
        <v>-491479</v>
      </c>
      <c r="W81" s="331"/>
      <c r="X81" s="331"/>
      <c r="Y81" s="330">
        <f>SUM(V80:X80)</f>
        <v>716439</v>
      </c>
      <c r="Z81" s="330">
        <f>U80+Y80</f>
        <v>28493471</v>
      </c>
      <c r="AA81" s="332"/>
      <c r="AB81" s="332"/>
      <c r="AC81" s="330"/>
      <c r="AD81" s="330">
        <f>SUM(Z80:AC80)</f>
        <v>38402035</v>
      </c>
      <c r="AE81" s="333"/>
      <c r="AF81" s="333"/>
      <c r="AG81" s="333"/>
      <c r="AH81" s="333"/>
      <c r="AI81" s="381"/>
      <c r="AJ81" s="333"/>
      <c r="AK81" s="381">
        <f>SUM(AE80:AJ80)</f>
        <v>70.100000000000009</v>
      </c>
      <c r="AL81" s="328">
        <f>SUM(AM80:AQ80)</f>
        <v>258216267</v>
      </c>
      <c r="AM81" s="328"/>
      <c r="AN81" s="58"/>
      <c r="AO81" s="330"/>
      <c r="AP81" s="330"/>
      <c r="AQ81" s="330"/>
      <c r="AR81" s="329"/>
    </row>
    <row r="82" spans="4:44" ht="13.5" thickBot="1" x14ac:dyDescent="0.25">
      <c r="D82" s="8"/>
      <c r="E82" s="4"/>
      <c r="F82" s="8"/>
      <c r="G82" s="17"/>
      <c r="H82" s="4"/>
      <c r="I82" s="328">
        <f>SUM(J83:M83)</f>
        <v>219814232</v>
      </c>
      <c r="J82" s="328"/>
      <c r="K82" s="328"/>
      <c r="L82" s="328"/>
      <c r="M82" s="328"/>
      <c r="N82" s="742"/>
      <c r="O82" s="328">
        <f>V83</f>
        <v>491479</v>
      </c>
      <c r="P82" s="329"/>
      <c r="Q82" s="329"/>
      <c r="R82" s="329"/>
      <c r="S82" s="328"/>
      <c r="T82" s="329"/>
      <c r="U82" s="330">
        <f>SUM(O83:T83)</f>
        <v>27777032</v>
      </c>
      <c r="V82" s="330"/>
      <c r="W82" s="331"/>
      <c r="X82" s="331"/>
      <c r="Y82" s="330">
        <f>SUM(V83:X83)</f>
        <v>716439</v>
      </c>
      <c r="Z82" s="330">
        <f>U83+Y83</f>
        <v>28493471</v>
      </c>
      <c r="AA82" s="332"/>
      <c r="AB82" s="332"/>
      <c r="AC82" s="330"/>
      <c r="AD82" s="330">
        <f>SUM(Z83:AC83)</f>
        <v>38402035</v>
      </c>
      <c r="AE82" s="333"/>
      <c r="AF82" s="333"/>
      <c r="AG82" s="333"/>
      <c r="AH82" s="333"/>
      <c r="AI82" s="381"/>
      <c r="AJ82" s="333"/>
      <c r="AK82" s="381">
        <f>SUM(AE83:AJ83)</f>
        <v>70.099999999999994</v>
      </c>
      <c r="AL82" s="328">
        <f>AM83+AN83+AO83+AP83</f>
        <v>258216267</v>
      </c>
      <c r="AM82" s="328"/>
      <c r="AN82" s="58"/>
      <c r="AO82" s="48"/>
      <c r="AP82" s="48"/>
      <c r="AQ82" s="48"/>
      <c r="AR82" s="329"/>
    </row>
    <row r="83" spans="4:44" ht="13.5" thickBot="1" x14ac:dyDescent="0.25">
      <c r="D83" s="8"/>
      <c r="E83" s="4"/>
      <c r="F83" s="8"/>
      <c r="G83" s="17"/>
      <c r="H83" s="360" t="s">
        <v>0</v>
      </c>
      <c r="I83" s="96">
        <f t="shared" ref="I83:AR83" si="173">SUM(I84:I93)</f>
        <v>219814232</v>
      </c>
      <c r="J83" s="31">
        <f t="shared" si="173"/>
        <v>163066937</v>
      </c>
      <c r="K83" s="31">
        <f t="shared" si="173"/>
        <v>55116625</v>
      </c>
      <c r="L83" s="31">
        <f t="shared" si="173"/>
        <v>1630670</v>
      </c>
      <c r="M83" s="31">
        <f t="shared" si="173"/>
        <v>0</v>
      </c>
      <c r="N83" s="647">
        <f t="shared" si="173"/>
        <v>250.15999999999997</v>
      </c>
      <c r="O83" s="101">
        <f t="shared" si="173"/>
        <v>-491479</v>
      </c>
      <c r="P83" s="31">
        <f t="shared" si="173"/>
        <v>28200401</v>
      </c>
      <c r="Q83" s="31">
        <f t="shared" si="173"/>
        <v>68110</v>
      </c>
      <c r="R83" s="31">
        <f t="shared" si="173"/>
        <v>0</v>
      </c>
      <c r="S83" s="31">
        <f t="shared" si="173"/>
        <v>0</v>
      </c>
      <c r="T83" s="31">
        <f t="shared" si="173"/>
        <v>0</v>
      </c>
      <c r="U83" s="31">
        <f t="shared" si="173"/>
        <v>27777032</v>
      </c>
      <c r="V83" s="31">
        <f t="shared" si="173"/>
        <v>491479</v>
      </c>
      <c r="W83" s="31">
        <f t="shared" si="173"/>
        <v>224960</v>
      </c>
      <c r="X83" s="31">
        <f t="shared" si="173"/>
        <v>0</v>
      </c>
      <c r="Y83" s="31">
        <f t="shared" si="173"/>
        <v>716439</v>
      </c>
      <c r="Z83" s="31">
        <f t="shared" si="173"/>
        <v>28493471</v>
      </c>
      <c r="AA83" s="31">
        <f t="shared" si="173"/>
        <v>9630794</v>
      </c>
      <c r="AB83" s="31">
        <f t="shared" si="173"/>
        <v>277770</v>
      </c>
      <c r="AC83" s="31">
        <f t="shared" si="173"/>
        <v>0</v>
      </c>
      <c r="AD83" s="642">
        <f t="shared" si="173"/>
        <v>38402035</v>
      </c>
      <c r="AE83" s="646">
        <f t="shared" si="173"/>
        <v>-0.36</v>
      </c>
      <c r="AF83" s="32">
        <f t="shared" si="173"/>
        <v>70.36</v>
      </c>
      <c r="AG83" s="32">
        <f t="shared" si="173"/>
        <v>0</v>
      </c>
      <c r="AH83" s="32">
        <f t="shared" si="173"/>
        <v>0.1</v>
      </c>
      <c r="AI83" s="32">
        <f t="shared" si="173"/>
        <v>0</v>
      </c>
      <c r="AJ83" s="32">
        <f t="shared" si="173"/>
        <v>0</v>
      </c>
      <c r="AK83" s="647">
        <f t="shared" si="173"/>
        <v>70.099999999999994</v>
      </c>
      <c r="AL83" s="96">
        <f t="shared" si="173"/>
        <v>258216267</v>
      </c>
      <c r="AM83" s="31">
        <f t="shared" si="173"/>
        <v>190843969</v>
      </c>
      <c r="AN83" s="31">
        <f t="shared" si="173"/>
        <v>716439</v>
      </c>
      <c r="AO83" s="31">
        <f t="shared" si="173"/>
        <v>64747419</v>
      </c>
      <c r="AP83" s="31">
        <f t="shared" si="173"/>
        <v>1908440</v>
      </c>
      <c r="AQ83" s="31">
        <f t="shared" si="173"/>
        <v>0</v>
      </c>
      <c r="AR83" s="32">
        <f t="shared" si="173"/>
        <v>320.26</v>
      </c>
    </row>
    <row r="84" spans="4:44" x14ac:dyDescent="0.2">
      <c r="D84" s="8"/>
      <c r="E84" s="4"/>
      <c r="F84" s="8"/>
      <c r="G84" s="17"/>
      <c r="H84" s="359">
        <v>3111</v>
      </c>
      <c r="I84" s="370">
        <f t="shared" ref="I84:AR84" si="174">SUMIF($F$12:$F$426,"=3111",I$12:I$426)</f>
        <v>46254320</v>
      </c>
      <c r="J84" s="371">
        <f t="shared" si="174"/>
        <v>34313295</v>
      </c>
      <c r="K84" s="371">
        <f t="shared" si="174"/>
        <v>11597893</v>
      </c>
      <c r="L84" s="371">
        <f t="shared" si="174"/>
        <v>343132</v>
      </c>
      <c r="M84" s="371">
        <f t="shared" si="174"/>
        <v>0</v>
      </c>
      <c r="N84" s="649">
        <f t="shared" si="174"/>
        <v>57.3</v>
      </c>
      <c r="O84" s="372">
        <f t="shared" si="174"/>
        <v>-126000</v>
      </c>
      <c r="P84" s="371">
        <f t="shared" si="174"/>
        <v>5333887</v>
      </c>
      <c r="Q84" s="371">
        <f t="shared" si="174"/>
        <v>0</v>
      </c>
      <c r="R84" s="371">
        <f t="shared" si="174"/>
        <v>0</v>
      </c>
      <c r="S84" s="371">
        <f t="shared" si="174"/>
        <v>0</v>
      </c>
      <c r="T84" s="371">
        <f t="shared" si="174"/>
        <v>0</v>
      </c>
      <c r="U84" s="371">
        <f t="shared" si="174"/>
        <v>5207887</v>
      </c>
      <c r="V84" s="371">
        <f t="shared" si="174"/>
        <v>126000</v>
      </c>
      <c r="W84" s="371">
        <f t="shared" si="174"/>
        <v>0</v>
      </c>
      <c r="X84" s="371">
        <f t="shared" si="174"/>
        <v>0</v>
      </c>
      <c r="Y84" s="371">
        <f t="shared" si="174"/>
        <v>126000</v>
      </c>
      <c r="Z84" s="371">
        <f t="shared" si="174"/>
        <v>5333887</v>
      </c>
      <c r="AA84" s="371">
        <f t="shared" si="174"/>
        <v>1802854</v>
      </c>
      <c r="AB84" s="371">
        <f t="shared" si="174"/>
        <v>52079</v>
      </c>
      <c r="AC84" s="371">
        <f t="shared" si="174"/>
        <v>0</v>
      </c>
      <c r="AD84" s="643">
        <f t="shared" si="174"/>
        <v>7188820</v>
      </c>
      <c r="AE84" s="648">
        <f t="shared" si="174"/>
        <v>0</v>
      </c>
      <c r="AF84" s="373">
        <f t="shared" si="174"/>
        <v>13.670000000000002</v>
      </c>
      <c r="AG84" s="373">
        <f t="shared" si="174"/>
        <v>0</v>
      </c>
      <c r="AH84" s="373">
        <f t="shared" si="174"/>
        <v>0</v>
      </c>
      <c r="AI84" s="373">
        <f t="shared" si="174"/>
        <v>0</v>
      </c>
      <c r="AJ84" s="373">
        <f t="shared" si="174"/>
        <v>0</v>
      </c>
      <c r="AK84" s="649">
        <f t="shared" si="174"/>
        <v>13.670000000000002</v>
      </c>
      <c r="AL84" s="370">
        <f t="shared" si="174"/>
        <v>53443140</v>
      </c>
      <c r="AM84" s="371">
        <f t="shared" si="174"/>
        <v>39521182</v>
      </c>
      <c r="AN84" s="371">
        <f t="shared" si="174"/>
        <v>126000</v>
      </c>
      <c r="AO84" s="371">
        <f t="shared" si="174"/>
        <v>13400747</v>
      </c>
      <c r="AP84" s="371">
        <f t="shared" si="174"/>
        <v>395211</v>
      </c>
      <c r="AQ84" s="371">
        <f t="shared" si="174"/>
        <v>0</v>
      </c>
      <c r="AR84" s="373">
        <f t="shared" si="174"/>
        <v>70.97</v>
      </c>
    </row>
    <row r="85" spans="4:44" x14ac:dyDescent="0.2">
      <c r="D85" s="8"/>
      <c r="E85" s="4"/>
      <c r="F85" s="8"/>
      <c r="G85" s="17"/>
      <c r="H85" s="16">
        <v>3113</v>
      </c>
      <c r="I85" s="119">
        <f t="shared" ref="I85:AR85" si="175">SUMIF($F$12:$F$426,"=3113",I$12:I$426)</f>
        <v>125920413</v>
      </c>
      <c r="J85" s="14">
        <f t="shared" si="175"/>
        <v>93412768</v>
      </c>
      <c r="K85" s="14">
        <f t="shared" si="175"/>
        <v>31573516</v>
      </c>
      <c r="L85" s="14">
        <f t="shared" si="175"/>
        <v>934129</v>
      </c>
      <c r="M85" s="14">
        <f t="shared" si="175"/>
        <v>0</v>
      </c>
      <c r="N85" s="651">
        <f t="shared" si="175"/>
        <v>135.57</v>
      </c>
      <c r="O85" s="120">
        <f t="shared" si="175"/>
        <v>-177000</v>
      </c>
      <c r="P85" s="14">
        <f t="shared" si="175"/>
        <v>20822486</v>
      </c>
      <c r="Q85" s="14">
        <f t="shared" si="175"/>
        <v>68110</v>
      </c>
      <c r="R85" s="14">
        <f t="shared" si="175"/>
        <v>0</v>
      </c>
      <c r="S85" s="14">
        <f t="shared" si="175"/>
        <v>0</v>
      </c>
      <c r="T85" s="14">
        <f t="shared" si="175"/>
        <v>0</v>
      </c>
      <c r="U85" s="14">
        <f t="shared" si="175"/>
        <v>20713596</v>
      </c>
      <c r="V85" s="14">
        <f t="shared" si="175"/>
        <v>177000</v>
      </c>
      <c r="W85" s="14">
        <f t="shared" si="175"/>
        <v>157070</v>
      </c>
      <c r="X85" s="14">
        <f t="shared" si="175"/>
        <v>0</v>
      </c>
      <c r="Y85" s="14">
        <f t="shared" si="175"/>
        <v>334070</v>
      </c>
      <c r="Z85" s="14">
        <f t="shared" si="175"/>
        <v>21047666</v>
      </c>
      <c r="AA85" s="14">
        <f t="shared" si="175"/>
        <v>7114111</v>
      </c>
      <c r="AB85" s="14">
        <f t="shared" si="175"/>
        <v>207135</v>
      </c>
      <c r="AC85" s="14">
        <f t="shared" si="175"/>
        <v>0</v>
      </c>
      <c r="AD85" s="644">
        <f t="shared" si="175"/>
        <v>28368912</v>
      </c>
      <c r="AE85" s="650">
        <f t="shared" si="175"/>
        <v>-0.06</v>
      </c>
      <c r="AF85" s="11">
        <f t="shared" si="175"/>
        <v>51.669999999999995</v>
      </c>
      <c r="AG85" s="11">
        <f t="shared" si="175"/>
        <v>0</v>
      </c>
      <c r="AH85" s="11">
        <f t="shared" si="175"/>
        <v>0.1</v>
      </c>
      <c r="AI85" s="11">
        <f t="shared" si="175"/>
        <v>0</v>
      </c>
      <c r="AJ85" s="11">
        <f t="shared" si="175"/>
        <v>0</v>
      </c>
      <c r="AK85" s="651">
        <f t="shared" si="175"/>
        <v>51.71</v>
      </c>
      <c r="AL85" s="119">
        <f t="shared" si="175"/>
        <v>154289325</v>
      </c>
      <c r="AM85" s="14">
        <f t="shared" si="175"/>
        <v>114126364</v>
      </c>
      <c r="AN85" s="14">
        <f t="shared" si="175"/>
        <v>334070</v>
      </c>
      <c r="AO85" s="14">
        <f t="shared" si="175"/>
        <v>38687627</v>
      </c>
      <c r="AP85" s="14">
        <f t="shared" si="175"/>
        <v>1141264</v>
      </c>
      <c r="AQ85" s="14">
        <f t="shared" si="175"/>
        <v>0</v>
      </c>
      <c r="AR85" s="11">
        <f t="shared" si="175"/>
        <v>187.27999999999997</v>
      </c>
    </row>
    <row r="86" spans="4:44" x14ac:dyDescent="0.2">
      <c r="D86" s="8"/>
      <c r="E86" s="4"/>
      <c r="F86" s="8"/>
      <c r="G86" s="17"/>
      <c r="H86" s="16">
        <v>3114</v>
      </c>
      <c r="I86" s="119">
        <f t="shared" ref="I86:AR86" si="176">SUMIF($F$12:$F$426,"=3114",I$12:I$426)</f>
        <v>0</v>
      </c>
      <c r="J86" s="14">
        <f t="shared" si="176"/>
        <v>0</v>
      </c>
      <c r="K86" s="14">
        <f t="shared" si="176"/>
        <v>0</v>
      </c>
      <c r="L86" s="14">
        <f t="shared" si="176"/>
        <v>0</v>
      </c>
      <c r="M86" s="14">
        <f t="shared" si="176"/>
        <v>0</v>
      </c>
      <c r="N86" s="651">
        <f t="shared" si="176"/>
        <v>0</v>
      </c>
      <c r="O86" s="120">
        <f t="shared" si="176"/>
        <v>0</v>
      </c>
      <c r="P86" s="14">
        <f t="shared" si="176"/>
        <v>0</v>
      </c>
      <c r="Q86" s="14">
        <f t="shared" si="176"/>
        <v>0</v>
      </c>
      <c r="R86" s="14">
        <f t="shared" si="176"/>
        <v>0</v>
      </c>
      <c r="S86" s="14">
        <f t="shared" si="176"/>
        <v>0</v>
      </c>
      <c r="T86" s="14">
        <f t="shared" si="176"/>
        <v>0</v>
      </c>
      <c r="U86" s="14">
        <f t="shared" si="176"/>
        <v>0</v>
      </c>
      <c r="V86" s="14">
        <f t="shared" si="176"/>
        <v>0</v>
      </c>
      <c r="W86" s="14">
        <f t="shared" si="176"/>
        <v>0</v>
      </c>
      <c r="X86" s="14">
        <f t="shared" si="176"/>
        <v>0</v>
      </c>
      <c r="Y86" s="14">
        <f t="shared" si="176"/>
        <v>0</v>
      </c>
      <c r="Z86" s="14">
        <f t="shared" si="176"/>
        <v>0</v>
      </c>
      <c r="AA86" s="14">
        <f t="shared" si="176"/>
        <v>0</v>
      </c>
      <c r="AB86" s="14">
        <f t="shared" si="176"/>
        <v>0</v>
      </c>
      <c r="AC86" s="14">
        <f t="shared" si="176"/>
        <v>0</v>
      </c>
      <c r="AD86" s="644">
        <f t="shared" si="176"/>
        <v>0</v>
      </c>
      <c r="AE86" s="650">
        <f t="shared" si="176"/>
        <v>0</v>
      </c>
      <c r="AF86" s="11">
        <f t="shared" si="176"/>
        <v>0</v>
      </c>
      <c r="AG86" s="11">
        <f t="shared" si="176"/>
        <v>0</v>
      </c>
      <c r="AH86" s="11">
        <f t="shared" si="176"/>
        <v>0</v>
      </c>
      <c r="AI86" s="11">
        <f t="shared" si="176"/>
        <v>0</v>
      </c>
      <c r="AJ86" s="11">
        <f t="shared" si="176"/>
        <v>0</v>
      </c>
      <c r="AK86" s="651">
        <f t="shared" si="176"/>
        <v>0</v>
      </c>
      <c r="AL86" s="119">
        <f t="shared" si="176"/>
        <v>0</v>
      </c>
      <c r="AM86" s="14">
        <f t="shared" si="176"/>
        <v>0</v>
      </c>
      <c r="AN86" s="14">
        <f t="shared" si="176"/>
        <v>0</v>
      </c>
      <c r="AO86" s="14">
        <f t="shared" si="176"/>
        <v>0</v>
      </c>
      <c r="AP86" s="14">
        <f t="shared" si="176"/>
        <v>0</v>
      </c>
      <c r="AQ86" s="14">
        <f t="shared" si="176"/>
        <v>0</v>
      </c>
      <c r="AR86" s="11">
        <f t="shared" si="176"/>
        <v>0</v>
      </c>
    </row>
    <row r="87" spans="4:44" x14ac:dyDescent="0.2">
      <c r="D87" s="8"/>
      <c r="E87" s="4"/>
      <c r="F87" s="8"/>
      <c r="G87" s="17"/>
      <c r="H87" s="16">
        <v>3117</v>
      </c>
      <c r="I87" s="119">
        <f t="shared" ref="I87:AR87" si="177">SUMIF($F$12:$F$426,"=3117",I$12:I$426)</f>
        <v>11974859</v>
      </c>
      <c r="J87" s="14">
        <f t="shared" si="177"/>
        <v>8883425</v>
      </c>
      <c r="K87" s="14">
        <f t="shared" si="177"/>
        <v>3002598</v>
      </c>
      <c r="L87" s="14">
        <f t="shared" si="177"/>
        <v>88836</v>
      </c>
      <c r="M87" s="14">
        <f t="shared" si="177"/>
        <v>0</v>
      </c>
      <c r="N87" s="651">
        <f t="shared" si="177"/>
        <v>12.979999999999999</v>
      </c>
      <c r="O87" s="120">
        <f t="shared" si="177"/>
        <v>-65479</v>
      </c>
      <c r="P87" s="14">
        <f t="shared" si="177"/>
        <v>2044028</v>
      </c>
      <c r="Q87" s="14">
        <f t="shared" si="177"/>
        <v>0</v>
      </c>
      <c r="R87" s="14">
        <f t="shared" si="177"/>
        <v>0</v>
      </c>
      <c r="S87" s="14">
        <f t="shared" si="177"/>
        <v>0</v>
      </c>
      <c r="T87" s="14">
        <f t="shared" si="177"/>
        <v>0</v>
      </c>
      <c r="U87" s="14">
        <f t="shared" si="177"/>
        <v>1978549</v>
      </c>
      <c r="V87" s="14">
        <f t="shared" si="177"/>
        <v>65479</v>
      </c>
      <c r="W87" s="14">
        <f t="shared" si="177"/>
        <v>0</v>
      </c>
      <c r="X87" s="14">
        <f t="shared" si="177"/>
        <v>0</v>
      </c>
      <c r="Y87" s="14">
        <f t="shared" si="177"/>
        <v>65479</v>
      </c>
      <c r="Z87" s="14">
        <f t="shared" si="177"/>
        <v>2044028</v>
      </c>
      <c r="AA87" s="14">
        <f t="shared" si="177"/>
        <v>690882</v>
      </c>
      <c r="AB87" s="14">
        <f t="shared" si="177"/>
        <v>19786</v>
      </c>
      <c r="AC87" s="14">
        <f t="shared" si="177"/>
        <v>0</v>
      </c>
      <c r="AD87" s="644">
        <f t="shared" si="177"/>
        <v>2754696</v>
      </c>
      <c r="AE87" s="650">
        <f t="shared" si="177"/>
        <v>-0.11</v>
      </c>
      <c r="AF87" s="11">
        <f t="shared" si="177"/>
        <v>5.0200000000000005</v>
      </c>
      <c r="AG87" s="11">
        <f t="shared" si="177"/>
        <v>0</v>
      </c>
      <c r="AH87" s="11">
        <f t="shared" si="177"/>
        <v>0</v>
      </c>
      <c r="AI87" s="11">
        <f t="shared" si="177"/>
        <v>0</v>
      </c>
      <c r="AJ87" s="11">
        <f t="shared" si="177"/>
        <v>0</v>
      </c>
      <c r="AK87" s="651">
        <f t="shared" si="177"/>
        <v>4.91</v>
      </c>
      <c r="AL87" s="119">
        <f t="shared" si="177"/>
        <v>14729555</v>
      </c>
      <c r="AM87" s="14">
        <f t="shared" si="177"/>
        <v>10861974</v>
      </c>
      <c r="AN87" s="14">
        <f t="shared" si="177"/>
        <v>65479</v>
      </c>
      <c r="AO87" s="14">
        <f t="shared" si="177"/>
        <v>3693480</v>
      </c>
      <c r="AP87" s="14">
        <f t="shared" si="177"/>
        <v>108622</v>
      </c>
      <c r="AQ87" s="14">
        <f t="shared" si="177"/>
        <v>0</v>
      </c>
      <c r="AR87" s="11">
        <f t="shared" si="177"/>
        <v>17.89</v>
      </c>
    </row>
    <row r="88" spans="4:44" x14ac:dyDescent="0.2">
      <c r="D88" s="8"/>
      <c r="E88" s="4"/>
      <c r="F88" s="8"/>
      <c r="G88" s="17"/>
      <c r="H88" s="16">
        <v>3122</v>
      </c>
      <c r="I88" s="119">
        <f t="shared" ref="I88:AR88" si="178">SUMIF($F$12:$F$426,"=3122",I$12:I$426)</f>
        <v>0</v>
      </c>
      <c r="J88" s="14">
        <f t="shared" si="178"/>
        <v>0</v>
      </c>
      <c r="K88" s="14">
        <f t="shared" si="178"/>
        <v>0</v>
      </c>
      <c r="L88" s="14">
        <f t="shared" si="178"/>
        <v>0</v>
      </c>
      <c r="M88" s="14">
        <f t="shared" si="178"/>
        <v>0</v>
      </c>
      <c r="N88" s="651">
        <f t="shared" si="178"/>
        <v>0</v>
      </c>
      <c r="O88" s="120">
        <f t="shared" si="178"/>
        <v>0</v>
      </c>
      <c r="P88" s="14">
        <f t="shared" si="178"/>
        <v>0</v>
      </c>
      <c r="Q88" s="14">
        <f t="shared" si="178"/>
        <v>0</v>
      </c>
      <c r="R88" s="14">
        <f t="shared" si="178"/>
        <v>0</v>
      </c>
      <c r="S88" s="14">
        <f t="shared" si="178"/>
        <v>0</v>
      </c>
      <c r="T88" s="14">
        <f t="shared" si="178"/>
        <v>0</v>
      </c>
      <c r="U88" s="14">
        <f t="shared" si="178"/>
        <v>0</v>
      </c>
      <c r="V88" s="14">
        <f t="shared" si="178"/>
        <v>0</v>
      </c>
      <c r="W88" s="14">
        <f t="shared" si="178"/>
        <v>0</v>
      </c>
      <c r="X88" s="14">
        <f t="shared" si="178"/>
        <v>0</v>
      </c>
      <c r="Y88" s="14">
        <f t="shared" si="178"/>
        <v>0</v>
      </c>
      <c r="Z88" s="14">
        <f t="shared" si="178"/>
        <v>0</v>
      </c>
      <c r="AA88" s="14">
        <f t="shared" si="178"/>
        <v>0</v>
      </c>
      <c r="AB88" s="14">
        <f t="shared" si="178"/>
        <v>0</v>
      </c>
      <c r="AC88" s="14">
        <f t="shared" si="178"/>
        <v>0</v>
      </c>
      <c r="AD88" s="644">
        <f t="shared" si="178"/>
        <v>0</v>
      </c>
      <c r="AE88" s="650">
        <f t="shared" si="178"/>
        <v>0</v>
      </c>
      <c r="AF88" s="11">
        <f t="shared" si="178"/>
        <v>0</v>
      </c>
      <c r="AG88" s="11">
        <f t="shared" si="178"/>
        <v>0</v>
      </c>
      <c r="AH88" s="11">
        <f t="shared" si="178"/>
        <v>0</v>
      </c>
      <c r="AI88" s="11">
        <f t="shared" si="178"/>
        <v>0</v>
      </c>
      <c r="AJ88" s="11">
        <f t="shared" si="178"/>
        <v>0</v>
      </c>
      <c r="AK88" s="651">
        <f t="shared" si="178"/>
        <v>0</v>
      </c>
      <c r="AL88" s="119">
        <f t="shared" si="178"/>
        <v>0</v>
      </c>
      <c r="AM88" s="14">
        <f t="shared" si="178"/>
        <v>0</v>
      </c>
      <c r="AN88" s="14">
        <f t="shared" si="178"/>
        <v>0</v>
      </c>
      <c r="AO88" s="14">
        <f t="shared" si="178"/>
        <v>0</v>
      </c>
      <c r="AP88" s="14">
        <f t="shared" si="178"/>
        <v>0</v>
      </c>
      <c r="AQ88" s="14">
        <f t="shared" si="178"/>
        <v>0</v>
      </c>
      <c r="AR88" s="11">
        <f t="shared" si="178"/>
        <v>0</v>
      </c>
    </row>
    <row r="89" spans="4:44" x14ac:dyDescent="0.2">
      <c r="D89" s="8"/>
      <c r="E89" s="4"/>
      <c r="F89" s="8"/>
      <c r="G89" s="17"/>
      <c r="H89" s="16">
        <v>3124</v>
      </c>
      <c r="I89" s="119">
        <f t="shared" ref="I89:AR89" si="179">SUMIF($F$12:$F$426,"=3124",I$12:I$426)</f>
        <v>0</v>
      </c>
      <c r="J89" s="14">
        <f t="shared" si="179"/>
        <v>0</v>
      </c>
      <c r="K89" s="14">
        <f t="shared" si="179"/>
        <v>0</v>
      </c>
      <c r="L89" s="14">
        <f t="shared" si="179"/>
        <v>0</v>
      </c>
      <c r="M89" s="14">
        <f t="shared" si="179"/>
        <v>0</v>
      </c>
      <c r="N89" s="651">
        <f t="shared" si="179"/>
        <v>0</v>
      </c>
      <c r="O89" s="120">
        <f t="shared" si="179"/>
        <v>0</v>
      </c>
      <c r="P89" s="14">
        <f t="shared" si="179"/>
        <v>0</v>
      </c>
      <c r="Q89" s="14">
        <f t="shared" si="179"/>
        <v>0</v>
      </c>
      <c r="R89" s="14">
        <f t="shared" si="179"/>
        <v>0</v>
      </c>
      <c r="S89" s="14">
        <f t="shared" si="179"/>
        <v>0</v>
      </c>
      <c r="T89" s="14">
        <f t="shared" si="179"/>
        <v>0</v>
      </c>
      <c r="U89" s="14">
        <f t="shared" si="179"/>
        <v>0</v>
      </c>
      <c r="V89" s="14">
        <f t="shared" si="179"/>
        <v>0</v>
      </c>
      <c r="W89" s="14">
        <f t="shared" si="179"/>
        <v>0</v>
      </c>
      <c r="X89" s="14">
        <f t="shared" si="179"/>
        <v>0</v>
      </c>
      <c r="Y89" s="14">
        <f t="shared" si="179"/>
        <v>0</v>
      </c>
      <c r="Z89" s="14">
        <f t="shared" si="179"/>
        <v>0</v>
      </c>
      <c r="AA89" s="14">
        <f t="shared" si="179"/>
        <v>0</v>
      </c>
      <c r="AB89" s="14">
        <f t="shared" si="179"/>
        <v>0</v>
      </c>
      <c r="AC89" s="14">
        <f t="shared" si="179"/>
        <v>0</v>
      </c>
      <c r="AD89" s="644">
        <f t="shared" si="179"/>
        <v>0</v>
      </c>
      <c r="AE89" s="650">
        <f t="shared" si="179"/>
        <v>0</v>
      </c>
      <c r="AF89" s="11">
        <f t="shared" si="179"/>
        <v>0</v>
      </c>
      <c r="AG89" s="11">
        <f t="shared" si="179"/>
        <v>0</v>
      </c>
      <c r="AH89" s="11">
        <f t="shared" si="179"/>
        <v>0</v>
      </c>
      <c r="AI89" s="11">
        <f t="shared" si="179"/>
        <v>0</v>
      </c>
      <c r="AJ89" s="11">
        <f t="shared" si="179"/>
        <v>0</v>
      </c>
      <c r="AK89" s="651">
        <f t="shared" si="179"/>
        <v>0</v>
      </c>
      <c r="AL89" s="119">
        <f t="shared" si="179"/>
        <v>0</v>
      </c>
      <c r="AM89" s="14">
        <f t="shared" si="179"/>
        <v>0</v>
      </c>
      <c r="AN89" s="14">
        <f t="shared" si="179"/>
        <v>0</v>
      </c>
      <c r="AO89" s="14">
        <f t="shared" si="179"/>
        <v>0</v>
      </c>
      <c r="AP89" s="14">
        <f t="shared" si="179"/>
        <v>0</v>
      </c>
      <c r="AQ89" s="14">
        <f t="shared" si="179"/>
        <v>0</v>
      </c>
      <c r="AR89" s="11">
        <f t="shared" si="179"/>
        <v>0</v>
      </c>
    </row>
    <row r="90" spans="4:44" x14ac:dyDescent="0.2">
      <c r="D90" s="8"/>
      <c r="E90" s="4"/>
      <c r="F90" s="8"/>
      <c r="G90" s="17"/>
      <c r="H90" s="16">
        <v>3141</v>
      </c>
      <c r="I90" s="119">
        <f t="shared" ref="I90:AR90" si="180">SUMIF($F$12:$F$426,"=3141",I$12:I$426)</f>
        <v>0</v>
      </c>
      <c r="J90" s="14">
        <f t="shared" si="180"/>
        <v>0</v>
      </c>
      <c r="K90" s="14">
        <f t="shared" si="180"/>
        <v>0</v>
      </c>
      <c r="L90" s="14">
        <f t="shared" si="180"/>
        <v>0</v>
      </c>
      <c r="M90" s="14">
        <f t="shared" si="180"/>
        <v>0</v>
      </c>
      <c r="N90" s="651">
        <f t="shared" si="180"/>
        <v>0</v>
      </c>
      <c r="O90" s="120">
        <f t="shared" si="180"/>
        <v>0</v>
      </c>
      <c r="P90" s="14">
        <f t="shared" si="180"/>
        <v>0</v>
      </c>
      <c r="Q90" s="14">
        <f t="shared" si="180"/>
        <v>0</v>
      </c>
      <c r="R90" s="14">
        <f t="shared" si="180"/>
        <v>0</v>
      </c>
      <c r="S90" s="14">
        <f t="shared" si="180"/>
        <v>0</v>
      </c>
      <c r="T90" s="14">
        <f t="shared" si="180"/>
        <v>0</v>
      </c>
      <c r="U90" s="14">
        <f t="shared" si="180"/>
        <v>0</v>
      </c>
      <c r="V90" s="14">
        <f t="shared" si="180"/>
        <v>0</v>
      </c>
      <c r="W90" s="14">
        <f t="shared" si="180"/>
        <v>0</v>
      </c>
      <c r="X90" s="14">
        <f t="shared" si="180"/>
        <v>0</v>
      </c>
      <c r="Y90" s="14">
        <f t="shared" si="180"/>
        <v>0</v>
      </c>
      <c r="Z90" s="14">
        <f t="shared" si="180"/>
        <v>0</v>
      </c>
      <c r="AA90" s="14">
        <f t="shared" si="180"/>
        <v>0</v>
      </c>
      <c r="AB90" s="14">
        <f t="shared" si="180"/>
        <v>0</v>
      </c>
      <c r="AC90" s="14">
        <f t="shared" si="180"/>
        <v>0</v>
      </c>
      <c r="AD90" s="644">
        <f t="shared" si="180"/>
        <v>0</v>
      </c>
      <c r="AE90" s="650">
        <f t="shared" si="180"/>
        <v>0</v>
      </c>
      <c r="AF90" s="11">
        <f t="shared" si="180"/>
        <v>0</v>
      </c>
      <c r="AG90" s="11">
        <f t="shared" si="180"/>
        <v>0</v>
      </c>
      <c r="AH90" s="11">
        <f t="shared" si="180"/>
        <v>0</v>
      </c>
      <c r="AI90" s="11">
        <f t="shared" si="180"/>
        <v>0</v>
      </c>
      <c r="AJ90" s="11">
        <f t="shared" si="180"/>
        <v>0</v>
      </c>
      <c r="AK90" s="651">
        <f t="shared" si="180"/>
        <v>0</v>
      </c>
      <c r="AL90" s="119">
        <f t="shared" si="180"/>
        <v>0</v>
      </c>
      <c r="AM90" s="14">
        <f t="shared" si="180"/>
        <v>0</v>
      </c>
      <c r="AN90" s="14">
        <f t="shared" si="180"/>
        <v>0</v>
      </c>
      <c r="AO90" s="14">
        <f t="shared" si="180"/>
        <v>0</v>
      </c>
      <c r="AP90" s="14">
        <f t="shared" si="180"/>
        <v>0</v>
      </c>
      <c r="AQ90" s="14">
        <f t="shared" si="180"/>
        <v>0</v>
      </c>
      <c r="AR90" s="11">
        <f t="shared" si="180"/>
        <v>0</v>
      </c>
    </row>
    <row r="91" spans="4:44" x14ac:dyDescent="0.2">
      <c r="D91" s="8"/>
      <c r="E91" s="4"/>
      <c r="F91" s="8"/>
      <c r="G91" s="17"/>
      <c r="H91" s="16">
        <v>3143</v>
      </c>
      <c r="I91" s="119">
        <f t="shared" ref="I91:AR91" si="181">SUMIF($F$12:$F$426,"=3143",I$12:I$426)</f>
        <v>15759671</v>
      </c>
      <c r="J91" s="14">
        <f t="shared" si="181"/>
        <v>11691152</v>
      </c>
      <c r="K91" s="14">
        <f t="shared" si="181"/>
        <v>3951609</v>
      </c>
      <c r="L91" s="14">
        <f t="shared" si="181"/>
        <v>116910</v>
      </c>
      <c r="M91" s="14">
        <f t="shared" si="181"/>
        <v>0</v>
      </c>
      <c r="N91" s="651">
        <f t="shared" si="181"/>
        <v>21.889999999999997</v>
      </c>
      <c r="O91" s="120">
        <f t="shared" si="181"/>
        <v>-51000</v>
      </c>
      <c r="P91" s="14">
        <f t="shared" si="181"/>
        <v>0</v>
      </c>
      <c r="Q91" s="14">
        <f t="shared" si="181"/>
        <v>0</v>
      </c>
      <c r="R91" s="14">
        <f t="shared" si="181"/>
        <v>0</v>
      </c>
      <c r="S91" s="14">
        <f t="shared" si="181"/>
        <v>0</v>
      </c>
      <c r="T91" s="14">
        <f t="shared" si="181"/>
        <v>0</v>
      </c>
      <c r="U91" s="14">
        <f t="shared" si="181"/>
        <v>-51000</v>
      </c>
      <c r="V91" s="14">
        <f t="shared" si="181"/>
        <v>51000</v>
      </c>
      <c r="W91" s="14">
        <f t="shared" si="181"/>
        <v>67890</v>
      </c>
      <c r="X91" s="14">
        <f t="shared" si="181"/>
        <v>0</v>
      </c>
      <c r="Y91" s="14">
        <f t="shared" si="181"/>
        <v>118890</v>
      </c>
      <c r="Z91" s="14">
        <f t="shared" si="181"/>
        <v>67890</v>
      </c>
      <c r="AA91" s="14">
        <f t="shared" si="181"/>
        <v>22947</v>
      </c>
      <c r="AB91" s="14">
        <f t="shared" si="181"/>
        <v>-510</v>
      </c>
      <c r="AC91" s="14">
        <f t="shared" si="181"/>
        <v>0</v>
      </c>
      <c r="AD91" s="644">
        <f t="shared" si="181"/>
        <v>90327</v>
      </c>
      <c r="AE91" s="650">
        <f t="shared" si="181"/>
        <v>-7.0000000000000007E-2</v>
      </c>
      <c r="AF91" s="11">
        <f t="shared" si="181"/>
        <v>0</v>
      </c>
      <c r="AG91" s="11">
        <f t="shared" si="181"/>
        <v>0</v>
      </c>
      <c r="AH91" s="11">
        <f t="shared" si="181"/>
        <v>0</v>
      </c>
      <c r="AI91" s="11">
        <f t="shared" si="181"/>
        <v>0</v>
      </c>
      <c r="AJ91" s="11">
        <f t="shared" si="181"/>
        <v>0</v>
      </c>
      <c r="AK91" s="651">
        <f t="shared" si="181"/>
        <v>-7.0000000000000007E-2</v>
      </c>
      <c r="AL91" s="119">
        <f t="shared" si="181"/>
        <v>15849998</v>
      </c>
      <c r="AM91" s="14">
        <f t="shared" si="181"/>
        <v>11640152</v>
      </c>
      <c r="AN91" s="14">
        <f t="shared" si="181"/>
        <v>118890</v>
      </c>
      <c r="AO91" s="14">
        <f t="shared" si="181"/>
        <v>3974556</v>
      </c>
      <c r="AP91" s="14">
        <f t="shared" si="181"/>
        <v>116400</v>
      </c>
      <c r="AQ91" s="14">
        <f t="shared" si="181"/>
        <v>0</v>
      </c>
      <c r="AR91" s="11">
        <f t="shared" si="181"/>
        <v>21.819999999999997</v>
      </c>
    </row>
    <row r="92" spans="4:44" x14ac:dyDescent="0.2">
      <c r="D92" s="8"/>
      <c r="E92" s="4"/>
      <c r="F92" s="8"/>
      <c r="G92" s="17"/>
      <c r="H92" s="16">
        <v>3231</v>
      </c>
      <c r="I92" s="119">
        <f t="shared" ref="I92:AR92" si="182">SUMIF($F$12:$F$426,"=3231",I$12:I$426)</f>
        <v>17939143</v>
      </c>
      <c r="J92" s="14">
        <f t="shared" si="182"/>
        <v>13307969</v>
      </c>
      <c r="K92" s="14">
        <f t="shared" si="182"/>
        <v>4498094</v>
      </c>
      <c r="L92" s="14">
        <f t="shared" si="182"/>
        <v>133080</v>
      </c>
      <c r="M92" s="14">
        <f t="shared" si="182"/>
        <v>0</v>
      </c>
      <c r="N92" s="651">
        <f t="shared" si="182"/>
        <v>19.95</v>
      </c>
      <c r="O92" s="120">
        <f t="shared" si="182"/>
        <v>-12000</v>
      </c>
      <c r="P92" s="14">
        <f t="shared" si="182"/>
        <v>0</v>
      </c>
      <c r="Q92" s="14">
        <f t="shared" si="182"/>
        <v>0</v>
      </c>
      <c r="R92" s="14">
        <f t="shared" si="182"/>
        <v>0</v>
      </c>
      <c r="S92" s="14">
        <f t="shared" si="182"/>
        <v>0</v>
      </c>
      <c r="T92" s="14">
        <f t="shared" si="182"/>
        <v>0</v>
      </c>
      <c r="U92" s="14">
        <f t="shared" si="182"/>
        <v>-12000</v>
      </c>
      <c r="V92" s="14">
        <f t="shared" si="182"/>
        <v>12000</v>
      </c>
      <c r="W92" s="14">
        <f t="shared" si="182"/>
        <v>0</v>
      </c>
      <c r="X92" s="14">
        <f t="shared" si="182"/>
        <v>0</v>
      </c>
      <c r="Y92" s="14">
        <f t="shared" si="182"/>
        <v>12000</v>
      </c>
      <c r="Z92" s="14">
        <f t="shared" si="182"/>
        <v>0</v>
      </c>
      <c r="AA92" s="14">
        <f t="shared" si="182"/>
        <v>0</v>
      </c>
      <c r="AB92" s="14">
        <f t="shared" si="182"/>
        <v>-120</v>
      </c>
      <c r="AC92" s="14">
        <f t="shared" si="182"/>
        <v>0</v>
      </c>
      <c r="AD92" s="644">
        <f t="shared" si="182"/>
        <v>-120</v>
      </c>
      <c r="AE92" s="650">
        <f t="shared" si="182"/>
        <v>0</v>
      </c>
      <c r="AF92" s="11">
        <f t="shared" si="182"/>
        <v>0</v>
      </c>
      <c r="AG92" s="11">
        <f t="shared" si="182"/>
        <v>0</v>
      </c>
      <c r="AH92" s="11">
        <f t="shared" si="182"/>
        <v>0</v>
      </c>
      <c r="AI92" s="11">
        <f t="shared" si="182"/>
        <v>0</v>
      </c>
      <c r="AJ92" s="11">
        <f t="shared" si="182"/>
        <v>0</v>
      </c>
      <c r="AK92" s="651">
        <f t="shared" si="182"/>
        <v>0</v>
      </c>
      <c r="AL92" s="119">
        <f t="shared" si="182"/>
        <v>17939023</v>
      </c>
      <c r="AM92" s="14">
        <f t="shared" si="182"/>
        <v>13295969</v>
      </c>
      <c r="AN92" s="14">
        <f t="shared" si="182"/>
        <v>12000</v>
      </c>
      <c r="AO92" s="14">
        <f t="shared" si="182"/>
        <v>4498094</v>
      </c>
      <c r="AP92" s="14">
        <f t="shared" si="182"/>
        <v>132960</v>
      </c>
      <c r="AQ92" s="14">
        <f t="shared" si="182"/>
        <v>0</v>
      </c>
      <c r="AR92" s="11">
        <f t="shared" si="182"/>
        <v>19.95</v>
      </c>
    </row>
    <row r="93" spans="4:44" ht="13.5" thickBot="1" x14ac:dyDescent="0.25">
      <c r="D93" s="8"/>
      <c r="E93" s="4"/>
      <c r="F93" s="8"/>
      <c r="G93" s="17"/>
      <c r="H93" s="95">
        <v>3233</v>
      </c>
      <c r="I93" s="122">
        <f t="shared" ref="I93:AR93" si="183">SUMIF($F$12:$F$426,"=3233",I$12:I$426)</f>
        <v>1965826</v>
      </c>
      <c r="J93" s="123">
        <f t="shared" si="183"/>
        <v>1458328</v>
      </c>
      <c r="K93" s="123">
        <f t="shared" si="183"/>
        <v>492915</v>
      </c>
      <c r="L93" s="123">
        <f t="shared" si="183"/>
        <v>14583</v>
      </c>
      <c r="M93" s="123">
        <f t="shared" si="183"/>
        <v>0</v>
      </c>
      <c r="N93" s="653">
        <f t="shared" si="183"/>
        <v>2.4700000000000002</v>
      </c>
      <c r="O93" s="125">
        <f t="shared" si="183"/>
        <v>-60000</v>
      </c>
      <c r="P93" s="123">
        <f t="shared" si="183"/>
        <v>0</v>
      </c>
      <c r="Q93" s="123">
        <f t="shared" si="183"/>
        <v>0</v>
      </c>
      <c r="R93" s="123">
        <f t="shared" si="183"/>
        <v>0</v>
      </c>
      <c r="S93" s="123">
        <f t="shared" si="183"/>
        <v>0</v>
      </c>
      <c r="T93" s="123">
        <f t="shared" si="183"/>
        <v>0</v>
      </c>
      <c r="U93" s="123">
        <f t="shared" si="183"/>
        <v>-60000</v>
      </c>
      <c r="V93" s="123">
        <f t="shared" si="183"/>
        <v>60000</v>
      </c>
      <c r="W93" s="123">
        <f t="shared" si="183"/>
        <v>0</v>
      </c>
      <c r="X93" s="123">
        <f t="shared" si="183"/>
        <v>0</v>
      </c>
      <c r="Y93" s="123">
        <f t="shared" si="183"/>
        <v>60000</v>
      </c>
      <c r="Z93" s="123">
        <f t="shared" si="183"/>
        <v>0</v>
      </c>
      <c r="AA93" s="123">
        <f t="shared" si="183"/>
        <v>0</v>
      </c>
      <c r="AB93" s="123">
        <f t="shared" si="183"/>
        <v>-600</v>
      </c>
      <c r="AC93" s="123">
        <f t="shared" si="183"/>
        <v>0</v>
      </c>
      <c r="AD93" s="645">
        <f t="shared" si="183"/>
        <v>-600</v>
      </c>
      <c r="AE93" s="652">
        <f t="shared" si="183"/>
        <v>-0.12</v>
      </c>
      <c r="AF93" s="124">
        <f t="shared" si="183"/>
        <v>0</v>
      </c>
      <c r="AG93" s="124">
        <f t="shared" si="183"/>
        <v>0</v>
      </c>
      <c r="AH93" s="124">
        <f t="shared" si="183"/>
        <v>0</v>
      </c>
      <c r="AI93" s="124">
        <f t="shared" si="183"/>
        <v>0</v>
      </c>
      <c r="AJ93" s="124">
        <f t="shared" si="183"/>
        <v>0</v>
      </c>
      <c r="AK93" s="653">
        <f t="shared" si="183"/>
        <v>-0.12</v>
      </c>
      <c r="AL93" s="122">
        <f t="shared" si="183"/>
        <v>1965226</v>
      </c>
      <c r="AM93" s="123">
        <f t="shared" si="183"/>
        <v>1398328</v>
      </c>
      <c r="AN93" s="123">
        <f t="shared" si="183"/>
        <v>60000</v>
      </c>
      <c r="AO93" s="123">
        <f t="shared" si="183"/>
        <v>492915</v>
      </c>
      <c r="AP93" s="123">
        <f t="shared" si="183"/>
        <v>13983</v>
      </c>
      <c r="AQ93" s="123">
        <f t="shared" si="183"/>
        <v>0</v>
      </c>
      <c r="AR93" s="124">
        <f t="shared" si="183"/>
        <v>2.35</v>
      </c>
    </row>
    <row r="94" spans="4:44" x14ac:dyDescent="0.2">
      <c r="D94" s="4"/>
      <c r="E94" s="4"/>
      <c r="F94" s="4"/>
      <c r="G94" s="17"/>
      <c r="H94" s="4"/>
    </row>
  </sheetData>
  <mergeCells count="45">
    <mergeCell ref="AO9:AO10"/>
    <mergeCell ref="AE7:AK7"/>
    <mergeCell ref="V7:Y8"/>
    <mergeCell ref="S9:S10"/>
    <mergeCell ref="AP9:AP10"/>
    <mergeCell ref="AL8:AL10"/>
    <mergeCell ref="AM9:AM10"/>
    <mergeCell ref="AD7:AD10"/>
    <mergeCell ref="AA7:AA10"/>
    <mergeCell ref="AB7:AB10"/>
    <mergeCell ref="AI8:AI10"/>
    <mergeCell ref="AJ8:AJ10"/>
    <mergeCell ref="AK8:AK10"/>
    <mergeCell ref="AM8:AP8"/>
    <mergeCell ref="V9:V10"/>
    <mergeCell ref="X9:X10"/>
    <mergeCell ref="N8:N10"/>
    <mergeCell ref="J9:J10"/>
    <mergeCell ref="K9:K10"/>
    <mergeCell ref="P9:P10"/>
    <mergeCell ref="Q9:Q10"/>
    <mergeCell ref="O9:O10"/>
    <mergeCell ref="J8:L8"/>
    <mergeCell ref="A3:E3"/>
    <mergeCell ref="I8:I10"/>
    <mergeCell ref="I6:N7"/>
    <mergeCell ref="AR8:AR10"/>
    <mergeCell ref="Y9:Y10"/>
    <mergeCell ref="U9:U10"/>
    <mergeCell ref="W9:W10"/>
    <mergeCell ref="AN9:AN10"/>
    <mergeCell ref="AQ9:AQ10"/>
    <mergeCell ref="O6:AK6"/>
    <mergeCell ref="AL6:AR7"/>
    <mergeCell ref="O7:U8"/>
    <mergeCell ref="L9:L10"/>
    <mergeCell ref="M9:M10"/>
    <mergeCell ref="R9:R10"/>
    <mergeCell ref="T9:T10"/>
    <mergeCell ref="AH8:AH10"/>
    <mergeCell ref="Z7:Z10"/>
    <mergeCell ref="AC7:AC10"/>
    <mergeCell ref="AE8:AE10"/>
    <mergeCell ref="AF8:AF10"/>
    <mergeCell ref="AG8:AG1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AR72"/>
  <sheetViews>
    <sheetView zoomScaleNormal="100" workbookViewId="0">
      <pane xSplit="8" ySplit="11" topLeftCell="I46" activePane="bottomRight" state="frozen"/>
      <selection activeCell="I6" sqref="I6:AR10"/>
      <selection pane="topRight" activeCell="I6" sqref="I6:AR10"/>
      <selection pane="bottomLeft" activeCell="I6" sqref="I6:AR10"/>
      <selection pane="bottomRight" activeCell="I6" sqref="I6:AR10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30.85546875" customWidth="1"/>
    <col min="6" max="6" width="4.42578125" customWidth="1"/>
    <col min="7" max="7" width="10.42578125" style="38" customWidth="1"/>
    <col min="8" max="8" width="8" customWidth="1"/>
    <col min="9" max="9" width="12.28515625" style="7" customWidth="1"/>
    <col min="10" max="10" width="11.42578125" style="7" customWidth="1"/>
    <col min="11" max="11" width="12.28515625" style="7" customWidth="1"/>
    <col min="12" max="13" width="11.5703125" style="7" customWidth="1"/>
    <col min="14" max="14" width="12.42578125" style="6" customWidth="1"/>
    <col min="15" max="17" width="10.28515625" style="7" customWidth="1"/>
    <col min="18" max="18" width="10.5703125" style="7" customWidth="1"/>
    <col min="19" max="19" width="12.140625" style="7" customWidth="1"/>
    <col min="20" max="27" width="10.28515625" style="7" customWidth="1"/>
    <col min="28" max="28" width="10.28515625" style="6" customWidth="1"/>
    <col min="29" max="29" width="9.140625" style="7" customWidth="1"/>
    <col min="30" max="30" width="9.7109375" style="7" customWidth="1"/>
    <col min="31" max="31" width="10.140625" style="6" customWidth="1"/>
    <col min="32" max="32" width="9.7109375" style="6" customWidth="1"/>
    <col min="33" max="34" width="9.140625" style="6" customWidth="1"/>
    <col min="35" max="35" width="10.5703125" style="6" customWidth="1"/>
    <col min="36" max="36" width="10.140625" style="6" customWidth="1"/>
    <col min="37" max="37" width="9.28515625" style="6" customWidth="1"/>
    <col min="38" max="38" width="12.85546875" style="7" customWidth="1"/>
    <col min="39" max="42" width="10.85546875" style="7" customWidth="1"/>
    <col min="43" max="43" width="10.42578125" style="7" customWidth="1"/>
    <col min="44" max="44" width="11.42578125" style="6" customWidth="1"/>
    <col min="148" max="148" width="7" customWidth="1"/>
    <col min="149" max="149" width="33.140625" customWidth="1"/>
    <col min="150" max="150" width="6.42578125" customWidth="1"/>
    <col min="151" max="151" width="29" customWidth="1"/>
    <col min="152" max="152" width="11.42578125" customWidth="1"/>
    <col min="153" max="153" width="10.7109375" customWidth="1"/>
    <col min="154" max="154" width="10.85546875" customWidth="1"/>
    <col min="155" max="155" width="11.28515625" customWidth="1"/>
    <col min="157" max="157" width="9.7109375" customWidth="1"/>
    <col min="160" max="160" width="10.42578125" customWidth="1"/>
    <col min="404" max="404" width="7" customWidth="1"/>
    <col min="405" max="405" width="33.140625" customWidth="1"/>
    <col min="406" max="406" width="6.42578125" customWidth="1"/>
    <col min="407" max="407" width="29" customWidth="1"/>
    <col min="408" max="408" width="11.42578125" customWidth="1"/>
    <col min="409" max="409" width="10.7109375" customWidth="1"/>
    <col min="410" max="410" width="10.85546875" customWidth="1"/>
    <col min="411" max="411" width="11.28515625" customWidth="1"/>
    <col min="413" max="413" width="9.7109375" customWidth="1"/>
    <col min="416" max="416" width="10.42578125" customWidth="1"/>
    <col min="660" max="660" width="7" customWidth="1"/>
    <col min="661" max="661" width="33.140625" customWidth="1"/>
    <col min="662" max="662" width="6.42578125" customWidth="1"/>
    <col min="663" max="663" width="29" customWidth="1"/>
    <col min="664" max="664" width="11.42578125" customWidth="1"/>
    <col min="665" max="665" width="10.7109375" customWidth="1"/>
    <col min="666" max="666" width="10.85546875" customWidth="1"/>
    <col min="667" max="667" width="11.28515625" customWidth="1"/>
    <col min="669" max="669" width="9.7109375" customWidth="1"/>
    <col min="672" max="672" width="10.42578125" customWidth="1"/>
    <col min="916" max="916" width="7" customWidth="1"/>
    <col min="917" max="917" width="33.140625" customWidth="1"/>
    <col min="918" max="918" width="6.42578125" customWidth="1"/>
    <col min="919" max="919" width="29" customWidth="1"/>
    <col min="920" max="920" width="11.42578125" customWidth="1"/>
    <col min="921" max="921" width="10.7109375" customWidth="1"/>
    <col min="922" max="922" width="10.85546875" customWidth="1"/>
    <col min="923" max="923" width="11.28515625" customWidth="1"/>
    <col min="925" max="925" width="9.7109375" customWidth="1"/>
    <col min="928" max="928" width="10.42578125" customWidth="1"/>
    <col min="1172" max="1172" width="7" customWidth="1"/>
    <col min="1173" max="1173" width="33.140625" customWidth="1"/>
    <col min="1174" max="1174" width="6.42578125" customWidth="1"/>
    <col min="1175" max="1175" width="29" customWidth="1"/>
    <col min="1176" max="1176" width="11.42578125" customWidth="1"/>
    <col min="1177" max="1177" width="10.7109375" customWidth="1"/>
    <col min="1178" max="1178" width="10.85546875" customWidth="1"/>
    <col min="1179" max="1179" width="11.28515625" customWidth="1"/>
    <col min="1181" max="1181" width="9.7109375" customWidth="1"/>
    <col min="1184" max="1184" width="10.42578125" customWidth="1"/>
    <col min="1428" max="1428" width="7" customWidth="1"/>
    <col min="1429" max="1429" width="33.140625" customWidth="1"/>
    <col min="1430" max="1430" width="6.42578125" customWidth="1"/>
    <col min="1431" max="1431" width="29" customWidth="1"/>
    <col min="1432" max="1432" width="11.42578125" customWidth="1"/>
    <col min="1433" max="1433" width="10.7109375" customWidth="1"/>
    <col min="1434" max="1434" width="10.85546875" customWidth="1"/>
    <col min="1435" max="1435" width="11.28515625" customWidth="1"/>
    <col min="1437" max="1437" width="9.7109375" customWidth="1"/>
    <col min="1440" max="1440" width="10.42578125" customWidth="1"/>
    <col min="1684" max="1684" width="7" customWidth="1"/>
    <col min="1685" max="1685" width="33.140625" customWidth="1"/>
    <col min="1686" max="1686" width="6.42578125" customWidth="1"/>
    <col min="1687" max="1687" width="29" customWidth="1"/>
    <col min="1688" max="1688" width="11.42578125" customWidth="1"/>
    <col min="1689" max="1689" width="10.7109375" customWidth="1"/>
    <col min="1690" max="1690" width="10.85546875" customWidth="1"/>
    <col min="1691" max="1691" width="11.28515625" customWidth="1"/>
    <col min="1693" max="1693" width="9.7109375" customWidth="1"/>
    <col min="1696" max="1696" width="10.42578125" customWidth="1"/>
    <col min="1940" max="1940" width="7" customWidth="1"/>
    <col min="1941" max="1941" width="33.140625" customWidth="1"/>
    <col min="1942" max="1942" width="6.42578125" customWidth="1"/>
    <col min="1943" max="1943" width="29" customWidth="1"/>
    <col min="1944" max="1944" width="11.42578125" customWidth="1"/>
    <col min="1945" max="1945" width="10.7109375" customWidth="1"/>
    <col min="1946" max="1946" width="10.85546875" customWidth="1"/>
    <col min="1947" max="1947" width="11.28515625" customWidth="1"/>
    <col min="1949" max="1949" width="9.7109375" customWidth="1"/>
    <col min="1952" max="1952" width="10.42578125" customWidth="1"/>
    <col min="2196" max="2196" width="7" customWidth="1"/>
    <col min="2197" max="2197" width="33.140625" customWidth="1"/>
    <col min="2198" max="2198" width="6.42578125" customWidth="1"/>
    <col min="2199" max="2199" width="29" customWidth="1"/>
    <col min="2200" max="2200" width="11.42578125" customWidth="1"/>
    <col min="2201" max="2201" width="10.7109375" customWidth="1"/>
    <col min="2202" max="2202" width="10.85546875" customWidth="1"/>
    <col min="2203" max="2203" width="11.28515625" customWidth="1"/>
    <col min="2205" max="2205" width="9.7109375" customWidth="1"/>
    <col min="2208" max="2208" width="10.42578125" customWidth="1"/>
    <col min="2452" max="2452" width="7" customWidth="1"/>
    <col min="2453" max="2453" width="33.140625" customWidth="1"/>
    <col min="2454" max="2454" width="6.42578125" customWidth="1"/>
    <col min="2455" max="2455" width="29" customWidth="1"/>
    <col min="2456" max="2456" width="11.42578125" customWidth="1"/>
    <col min="2457" max="2457" width="10.7109375" customWidth="1"/>
    <col min="2458" max="2458" width="10.85546875" customWidth="1"/>
    <col min="2459" max="2459" width="11.28515625" customWidth="1"/>
    <col min="2461" max="2461" width="9.7109375" customWidth="1"/>
    <col min="2464" max="2464" width="10.42578125" customWidth="1"/>
    <col min="2708" max="2708" width="7" customWidth="1"/>
    <col min="2709" max="2709" width="33.140625" customWidth="1"/>
    <col min="2710" max="2710" width="6.42578125" customWidth="1"/>
    <col min="2711" max="2711" width="29" customWidth="1"/>
    <col min="2712" max="2712" width="11.42578125" customWidth="1"/>
    <col min="2713" max="2713" width="10.7109375" customWidth="1"/>
    <col min="2714" max="2714" width="10.85546875" customWidth="1"/>
    <col min="2715" max="2715" width="11.28515625" customWidth="1"/>
    <col min="2717" max="2717" width="9.7109375" customWidth="1"/>
    <col min="2720" max="2720" width="10.42578125" customWidth="1"/>
    <col min="2964" max="2964" width="7" customWidth="1"/>
    <col min="2965" max="2965" width="33.140625" customWidth="1"/>
    <col min="2966" max="2966" width="6.42578125" customWidth="1"/>
    <col min="2967" max="2967" width="29" customWidth="1"/>
    <col min="2968" max="2968" width="11.42578125" customWidth="1"/>
    <col min="2969" max="2969" width="10.7109375" customWidth="1"/>
    <col min="2970" max="2970" width="10.85546875" customWidth="1"/>
    <col min="2971" max="2971" width="11.28515625" customWidth="1"/>
    <col min="2973" max="2973" width="9.7109375" customWidth="1"/>
    <col min="2976" max="2976" width="10.42578125" customWidth="1"/>
    <col min="3220" max="3220" width="7" customWidth="1"/>
    <col min="3221" max="3221" width="33.140625" customWidth="1"/>
    <col min="3222" max="3222" width="6.42578125" customWidth="1"/>
    <col min="3223" max="3223" width="29" customWidth="1"/>
    <col min="3224" max="3224" width="11.42578125" customWidth="1"/>
    <col min="3225" max="3225" width="10.7109375" customWidth="1"/>
    <col min="3226" max="3226" width="10.85546875" customWidth="1"/>
    <col min="3227" max="3227" width="11.28515625" customWidth="1"/>
    <col min="3229" max="3229" width="9.7109375" customWidth="1"/>
    <col min="3232" max="3232" width="10.42578125" customWidth="1"/>
    <col min="3476" max="3476" width="7" customWidth="1"/>
    <col min="3477" max="3477" width="33.140625" customWidth="1"/>
    <col min="3478" max="3478" width="6.42578125" customWidth="1"/>
    <col min="3479" max="3479" width="29" customWidth="1"/>
    <col min="3480" max="3480" width="11.42578125" customWidth="1"/>
    <col min="3481" max="3481" width="10.7109375" customWidth="1"/>
    <col min="3482" max="3482" width="10.85546875" customWidth="1"/>
    <col min="3483" max="3483" width="11.28515625" customWidth="1"/>
    <col min="3485" max="3485" width="9.7109375" customWidth="1"/>
    <col min="3488" max="3488" width="10.42578125" customWidth="1"/>
    <col min="3732" max="3732" width="7" customWidth="1"/>
    <col min="3733" max="3733" width="33.140625" customWidth="1"/>
    <col min="3734" max="3734" width="6.42578125" customWidth="1"/>
    <col min="3735" max="3735" width="29" customWidth="1"/>
    <col min="3736" max="3736" width="11.42578125" customWidth="1"/>
    <col min="3737" max="3737" width="10.7109375" customWidth="1"/>
    <col min="3738" max="3738" width="10.85546875" customWidth="1"/>
    <col min="3739" max="3739" width="11.28515625" customWidth="1"/>
    <col min="3741" max="3741" width="9.7109375" customWidth="1"/>
    <col min="3744" max="3744" width="10.42578125" customWidth="1"/>
    <col min="3988" max="3988" width="7" customWidth="1"/>
    <col min="3989" max="3989" width="33.140625" customWidth="1"/>
    <col min="3990" max="3990" width="6.42578125" customWidth="1"/>
    <col min="3991" max="3991" width="29" customWidth="1"/>
    <col min="3992" max="3992" width="11.42578125" customWidth="1"/>
    <col min="3993" max="3993" width="10.7109375" customWidth="1"/>
    <col min="3994" max="3994" width="10.85546875" customWidth="1"/>
    <col min="3995" max="3995" width="11.28515625" customWidth="1"/>
    <col min="3997" max="3997" width="9.7109375" customWidth="1"/>
    <col min="4000" max="4000" width="10.42578125" customWidth="1"/>
    <col min="4244" max="4244" width="7" customWidth="1"/>
    <col min="4245" max="4245" width="33.140625" customWidth="1"/>
    <col min="4246" max="4246" width="6.42578125" customWidth="1"/>
    <col min="4247" max="4247" width="29" customWidth="1"/>
    <col min="4248" max="4248" width="11.42578125" customWidth="1"/>
    <col min="4249" max="4249" width="10.7109375" customWidth="1"/>
    <col min="4250" max="4250" width="10.85546875" customWidth="1"/>
    <col min="4251" max="4251" width="11.28515625" customWidth="1"/>
    <col min="4253" max="4253" width="9.7109375" customWidth="1"/>
    <col min="4256" max="4256" width="10.42578125" customWidth="1"/>
    <col min="4500" max="4500" width="7" customWidth="1"/>
    <col min="4501" max="4501" width="33.140625" customWidth="1"/>
    <col min="4502" max="4502" width="6.42578125" customWidth="1"/>
    <col min="4503" max="4503" width="29" customWidth="1"/>
    <col min="4504" max="4504" width="11.42578125" customWidth="1"/>
    <col min="4505" max="4505" width="10.7109375" customWidth="1"/>
    <col min="4506" max="4506" width="10.85546875" customWidth="1"/>
    <col min="4507" max="4507" width="11.28515625" customWidth="1"/>
    <col min="4509" max="4509" width="9.7109375" customWidth="1"/>
    <col min="4512" max="4512" width="10.42578125" customWidth="1"/>
    <col min="4756" max="4756" width="7" customWidth="1"/>
    <col min="4757" max="4757" width="33.140625" customWidth="1"/>
    <col min="4758" max="4758" width="6.42578125" customWidth="1"/>
    <col min="4759" max="4759" width="29" customWidth="1"/>
    <col min="4760" max="4760" width="11.42578125" customWidth="1"/>
    <col min="4761" max="4761" width="10.7109375" customWidth="1"/>
    <col min="4762" max="4762" width="10.85546875" customWidth="1"/>
    <col min="4763" max="4763" width="11.28515625" customWidth="1"/>
    <col min="4765" max="4765" width="9.7109375" customWidth="1"/>
    <col min="4768" max="4768" width="10.42578125" customWidth="1"/>
    <col min="5012" max="5012" width="7" customWidth="1"/>
    <col min="5013" max="5013" width="33.140625" customWidth="1"/>
    <col min="5014" max="5014" width="6.42578125" customWidth="1"/>
    <col min="5015" max="5015" width="29" customWidth="1"/>
    <col min="5016" max="5016" width="11.42578125" customWidth="1"/>
    <col min="5017" max="5017" width="10.7109375" customWidth="1"/>
    <col min="5018" max="5018" width="10.85546875" customWidth="1"/>
    <col min="5019" max="5019" width="11.28515625" customWidth="1"/>
    <col min="5021" max="5021" width="9.7109375" customWidth="1"/>
    <col min="5024" max="5024" width="10.42578125" customWidth="1"/>
    <col min="5268" max="5268" width="7" customWidth="1"/>
    <col min="5269" max="5269" width="33.140625" customWidth="1"/>
    <col min="5270" max="5270" width="6.42578125" customWidth="1"/>
    <col min="5271" max="5271" width="29" customWidth="1"/>
    <col min="5272" max="5272" width="11.42578125" customWidth="1"/>
    <col min="5273" max="5273" width="10.7109375" customWidth="1"/>
    <col min="5274" max="5274" width="10.85546875" customWidth="1"/>
    <col min="5275" max="5275" width="11.28515625" customWidth="1"/>
    <col min="5277" max="5277" width="9.7109375" customWidth="1"/>
    <col min="5280" max="5280" width="10.42578125" customWidth="1"/>
    <col min="5524" max="5524" width="7" customWidth="1"/>
    <col min="5525" max="5525" width="33.140625" customWidth="1"/>
    <col min="5526" max="5526" width="6.42578125" customWidth="1"/>
    <col min="5527" max="5527" width="29" customWidth="1"/>
    <col min="5528" max="5528" width="11.42578125" customWidth="1"/>
    <col min="5529" max="5529" width="10.7109375" customWidth="1"/>
    <col min="5530" max="5530" width="10.85546875" customWidth="1"/>
    <col min="5531" max="5531" width="11.28515625" customWidth="1"/>
    <col min="5533" max="5533" width="9.7109375" customWidth="1"/>
    <col min="5536" max="5536" width="10.42578125" customWidth="1"/>
    <col min="5780" max="5780" width="7" customWidth="1"/>
    <col min="5781" max="5781" width="33.140625" customWidth="1"/>
    <col min="5782" max="5782" width="6.42578125" customWidth="1"/>
    <col min="5783" max="5783" width="29" customWidth="1"/>
    <col min="5784" max="5784" width="11.42578125" customWidth="1"/>
    <col min="5785" max="5785" width="10.7109375" customWidth="1"/>
    <col min="5786" max="5786" width="10.85546875" customWidth="1"/>
    <col min="5787" max="5787" width="11.28515625" customWidth="1"/>
    <col min="5789" max="5789" width="9.7109375" customWidth="1"/>
    <col min="5792" max="5792" width="10.42578125" customWidth="1"/>
    <col min="6036" max="6036" width="7" customWidth="1"/>
    <col min="6037" max="6037" width="33.140625" customWidth="1"/>
    <col min="6038" max="6038" width="6.42578125" customWidth="1"/>
    <col min="6039" max="6039" width="29" customWidth="1"/>
    <col min="6040" max="6040" width="11.42578125" customWidth="1"/>
    <col min="6041" max="6041" width="10.7109375" customWidth="1"/>
    <col min="6042" max="6042" width="10.85546875" customWidth="1"/>
    <col min="6043" max="6043" width="11.28515625" customWidth="1"/>
    <col min="6045" max="6045" width="9.7109375" customWidth="1"/>
    <col min="6048" max="6048" width="10.42578125" customWidth="1"/>
    <col min="6292" max="6292" width="7" customWidth="1"/>
    <col min="6293" max="6293" width="33.140625" customWidth="1"/>
    <col min="6294" max="6294" width="6.42578125" customWidth="1"/>
    <col min="6295" max="6295" width="29" customWidth="1"/>
    <col min="6296" max="6296" width="11.42578125" customWidth="1"/>
    <col min="6297" max="6297" width="10.7109375" customWidth="1"/>
    <col min="6298" max="6298" width="10.85546875" customWidth="1"/>
    <col min="6299" max="6299" width="11.28515625" customWidth="1"/>
    <col min="6301" max="6301" width="9.7109375" customWidth="1"/>
    <col min="6304" max="6304" width="10.42578125" customWidth="1"/>
    <col min="6548" max="6548" width="7" customWidth="1"/>
    <col min="6549" max="6549" width="33.140625" customWidth="1"/>
    <col min="6550" max="6550" width="6.42578125" customWidth="1"/>
    <col min="6551" max="6551" width="29" customWidth="1"/>
    <col min="6552" max="6552" width="11.42578125" customWidth="1"/>
    <col min="6553" max="6553" width="10.7109375" customWidth="1"/>
    <col min="6554" max="6554" width="10.85546875" customWidth="1"/>
    <col min="6555" max="6555" width="11.28515625" customWidth="1"/>
    <col min="6557" max="6557" width="9.7109375" customWidth="1"/>
    <col min="6560" max="6560" width="10.42578125" customWidth="1"/>
    <col min="6804" max="6804" width="7" customWidth="1"/>
    <col min="6805" max="6805" width="33.140625" customWidth="1"/>
    <col min="6806" max="6806" width="6.42578125" customWidth="1"/>
    <col min="6807" max="6807" width="29" customWidth="1"/>
    <col min="6808" max="6808" width="11.42578125" customWidth="1"/>
    <col min="6809" max="6809" width="10.7109375" customWidth="1"/>
    <col min="6810" max="6810" width="10.85546875" customWidth="1"/>
    <col min="6811" max="6811" width="11.28515625" customWidth="1"/>
    <col min="6813" max="6813" width="9.7109375" customWidth="1"/>
    <col min="6816" max="6816" width="10.42578125" customWidth="1"/>
    <col min="7060" max="7060" width="7" customWidth="1"/>
    <col min="7061" max="7061" width="33.140625" customWidth="1"/>
    <col min="7062" max="7062" width="6.42578125" customWidth="1"/>
    <col min="7063" max="7063" width="29" customWidth="1"/>
    <col min="7064" max="7064" width="11.42578125" customWidth="1"/>
    <col min="7065" max="7065" width="10.7109375" customWidth="1"/>
    <col min="7066" max="7066" width="10.85546875" customWidth="1"/>
    <col min="7067" max="7067" width="11.28515625" customWidth="1"/>
    <col min="7069" max="7069" width="9.7109375" customWidth="1"/>
    <col min="7072" max="7072" width="10.42578125" customWidth="1"/>
    <col min="7316" max="7316" width="7" customWidth="1"/>
    <col min="7317" max="7317" width="33.140625" customWidth="1"/>
    <col min="7318" max="7318" width="6.42578125" customWidth="1"/>
    <col min="7319" max="7319" width="29" customWidth="1"/>
    <col min="7320" max="7320" width="11.42578125" customWidth="1"/>
    <col min="7321" max="7321" width="10.7109375" customWidth="1"/>
    <col min="7322" max="7322" width="10.85546875" customWidth="1"/>
    <col min="7323" max="7323" width="11.28515625" customWidth="1"/>
    <col min="7325" max="7325" width="9.7109375" customWidth="1"/>
    <col min="7328" max="7328" width="10.42578125" customWidth="1"/>
    <col min="7572" max="7572" width="7" customWidth="1"/>
    <col min="7573" max="7573" width="33.140625" customWidth="1"/>
    <col min="7574" max="7574" width="6.42578125" customWidth="1"/>
    <col min="7575" max="7575" width="29" customWidth="1"/>
    <col min="7576" max="7576" width="11.42578125" customWidth="1"/>
    <col min="7577" max="7577" width="10.7109375" customWidth="1"/>
    <col min="7578" max="7578" width="10.85546875" customWidth="1"/>
    <col min="7579" max="7579" width="11.28515625" customWidth="1"/>
    <col min="7581" max="7581" width="9.7109375" customWidth="1"/>
    <col min="7584" max="7584" width="10.42578125" customWidth="1"/>
    <col min="7828" max="7828" width="7" customWidth="1"/>
    <col min="7829" max="7829" width="33.140625" customWidth="1"/>
    <col min="7830" max="7830" width="6.42578125" customWidth="1"/>
    <col min="7831" max="7831" width="29" customWidth="1"/>
    <col min="7832" max="7832" width="11.42578125" customWidth="1"/>
    <col min="7833" max="7833" width="10.7109375" customWidth="1"/>
    <col min="7834" max="7834" width="10.85546875" customWidth="1"/>
    <col min="7835" max="7835" width="11.28515625" customWidth="1"/>
    <col min="7837" max="7837" width="9.7109375" customWidth="1"/>
    <col min="7840" max="7840" width="10.42578125" customWidth="1"/>
    <col min="8084" max="8084" width="7" customWidth="1"/>
    <col min="8085" max="8085" width="33.140625" customWidth="1"/>
    <col min="8086" max="8086" width="6.42578125" customWidth="1"/>
    <col min="8087" max="8087" width="29" customWidth="1"/>
    <col min="8088" max="8088" width="11.42578125" customWidth="1"/>
    <col min="8089" max="8089" width="10.7109375" customWidth="1"/>
    <col min="8090" max="8090" width="10.85546875" customWidth="1"/>
    <col min="8091" max="8091" width="11.28515625" customWidth="1"/>
    <col min="8093" max="8093" width="9.7109375" customWidth="1"/>
    <col min="8096" max="8096" width="10.42578125" customWidth="1"/>
    <col min="8340" max="8340" width="7" customWidth="1"/>
    <col min="8341" max="8341" width="33.140625" customWidth="1"/>
    <col min="8342" max="8342" width="6.42578125" customWidth="1"/>
    <col min="8343" max="8343" width="29" customWidth="1"/>
    <col min="8344" max="8344" width="11.42578125" customWidth="1"/>
    <col min="8345" max="8345" width="10.7109375" customWidth="1"/>
    <col min="8346" max="8346" width="10.85546875" customWidth="1"/>
    <col min="8347" max="8347" width="11.28515625" customWidth="1"/>
    <col min="8349" max="8349" width="9.7109375" customWidth="1"/>
    <col min="8352" max="8352" width="10.42578125" customWidth="1"/>
    <col min="8596" max="8596" width="7" customWidth="1"/>
    <col min="8597" max="8597" width="33.140625" customWidth="1"/>
    <col min="8598" max="8598" width="6.42578125" customWidth="1"/>
    <col min="8599" max="8599" width="29" customWidth="1"/>
    <col min="8600" max="8600" width="11.42578125" customWidth="1"/>
    <col min="8601" max="8601" width="10.7109375" customWidth="1"/>
    <col min="8602" max="8602" width="10.85546875" customWidth="1"/>
    <col min="8603" max="8603" width="11.28515625" customWidth="1"/>
    <col min="8605" max="8605" width="9.7109375" customWidth="1"/>
    <col min="8608" max="8608" width="10.42578125" customWidth="1"/>
    <col min="8852" max="8852" width="7" customWidth="1"/>
    <col min="8853" max="8853" width="33.140625" customWidth="1"/>
    <col min="8854" max="8854" width="6.42578125" customWidth="1"/>
    <col min="8855" max="8855" width="29" customWidth="1"/>
    <col min="8856" max="8856" width="11.42578125" customWidth="1"/>
    <col min="8857" max="8857" width="10.7109375" customWidth="1"/>
    <col min="8858" max="8858" width="10.85546875" customWidth="1"/>
    <col min="8859" max="8859" width="11.28515625" customWidth="1"/>
    <col min="8861" max="8861" width="9.7109375" customWidth="1"/>
    <col min="8864" max="8864" width="10.42578125" customWidth="1"/>
    <col min="9108" max="9108" width="7" customWidth="1"/>
    <col min="9109" max="9109" width="33.140625" customWidth="1"/>
    <col min="9110" max="9110" width="6.42578125" customWidth="1"/>
    <col min="9111" max="9111" width="29" customWidth="1"/>
    <col min="9112" max="9112" width="11.42578125" customWidth="1"/>
    <col min="9113" max="9113" width="10.7109375" customWidth="1"/>
    <col min="9114" max="9114" width="10.85546875" customWidth="1"/>
    <col min="9115" max="9115" width="11.28515625" customWidth="1"/>
    <col min="9117" max="9117" width="9.7109375" customWidth="1"/>
    <col min="9120" max="9120" width="10.42578125" customWidth="1"/>
    <col min="9364" max="9364" width="7" customWidth="1"/>
    <col min="9365" max="9365" width="33.140625" customWidth="1"/>
    <col min="9366" max="9366" width="6.42578125" customWidth="1"/>
    <col min="9367" max="9367" width="29" customWidth="1"/>
    <col min="9368" max="9368" width="11.42578125" customWidth="1"/>
    <col min="9369" max="9369" width="10.7109375" customWidth="1"/>
    <col min="9370" max="9370" width="10.85546875" customWidth="1"/>
    <col min="9371" max="9371" width="11.28515625" customWidth="1"/>
    <col min="9373" max="9373" width="9.7109375" customWidth="1"/>
    <col min="9376" max="9376" width="10.42578125" customWidth="1"/>
    <col min="9620" max="9620" width="7" customWidth="1"/>
    <col min="9621" max="9621" width="33.140625" customWidth="1"/>
    <col min="9622" max="9622" width="6.42578125" customWidth="1"/>
    <col min="9623" max="9623" width="29" customWidth="1"/>
    <col min="9624" max="9624" width="11.42578125" customWidth="1"/>
    <col min="9625" max="9625" width="10.7109375" customWidth="1"/>
    <col min="9626" max="9626" width="10.85546875" customWidth="1"/>
    <col min="9627" max="9627" width="11.28515625" customWidth="1"/>
    <col min="9629" max="9629" width="9.7109375" customWidth="1"/>
    <col min="9632" max="9632" width="10.42578125" customWidth="1"/>
    <col min="9876" max="9876" width="7" customWidth="1"/>
    <col min="9877" max="9877" width="33.140625" customWidth="1"/>
    <col min="9878" max="9878" width="6.42578125" customWidth="1"/>
    <col min="9879" max="9879" width="29" customWidth="1"/>
    <col min="9880" max="9880" width="11.42578125" customWidth="1"/>
    <col min="9881" max="9881" width="10.7109375" customWidth="1"/>
    <col min="9882" max="9882" width="10.85546875" customWidth="1"/>
    <col min="9883" max="9883" width="11.28515625" customWidth="1"/>
    <col min="9885" max="9885" width="9.7109375" customWidth="1"/>
    <col min="9888" max="9888" width="10.42578125" customWidth="1"/>
    <col min="10132" max="10132" width="7" customWidth="1"/>
    <col min="10133" max="10133" width="33.140625" customWidth="1"/>
    <col min="10134" max="10134" width="6.42578125" customWidth="1"/>
    <col min="10135" max="10135" width="29" customWidth="1"/>
    <col min="10136" max="10136" width="11.42578125" customWidth="1"/>
    <col min="10137" max="10137" width="10.7109375" customWidth="1"/>
    <col min="10138" max="10138" width="10.85546875" customWidth="1"/>
    <col min="10139" max="10139" width="11.28515625" customWidth="1"/>
    <col min="10141" max="10141" width="9.7109375" customWidth="1"/>
    <col min="10144" max="10144" width="10.42578125" customWidth="1"/>
    <col min="10388" max="10388" width="7" customWidth="1"/>
    <col min="10389" max="10389" width="33.140625" customWidth="1"/>
    <col min="10390" max="10390" width="6.42578125" customWidth="1"/>
    <col min="10391" max="10391" width="29" customWidth="1"/>
    <col min="10392" max="10392" width="11.42578125" customWidth="1"/>
    <col min="10393" max="10393" width="10.7109375" customWidth="1"/>
    <col min="10394" max="10394" width="10.85546875" customWidth="1"/>
    <col min="10395" max="10395" width="11.28515625" customWidth="1"/>
    <col min="10397" max="10397" width="9.7109375" customWidth="1"/>
    <col min="10400" max="10400" width="10.42578125" customWidth="1"/>
    <col min="10644" max="10644" width="7" customWidth="1"/>
    <col min="10645" max="10645" width="33.140625" customWidth="1"/>
    <col min="10646" max="10646" width="6.42578125" customWidth="1"/>
    <col min="10647" max="10647" width="29" customWidth="1"/>
    <col min="10648" max="10648" width="11.42578125" customWidth="1"/>
    <col min="10649" max="10649" width="10.7109375" customWidth="1"/>
    <col min="10650" max="10650" width="10.85546875" customWidth="1"/>
    <col min="10651" max="10651" width="11.28515625" customWidth="1"/>
    <col min="10653" max="10653" width="9.7109375" customWidth="1"/>
    <col min="10656" max="10656" width="10.42578125" customWidth="1"/>
    <col min="10900" max="10900" width="7" customWidth="1"/>
    <col min="10901" max="10901" width="33.140625" customWidth="1"/>
    <col min="10902" max="10902" width="6.42578125" customWidth="1"/>
    <col min="10903" max="10903" width="29" customWidth="1"/>
    <col min="10904" max="10904" width="11.42578125" customWidth="1"/>
    <col min="10905" max="10905" width="10.7109375" customWidth="1"/>
    <col min="10906" max="10906" width="10.85546875" customWidth="1"/>
    <col min="10907" max="10907" width="11.28515625" customWidth="1"/>
    <col min="10909" max="10909" width="9.7109375" customWidth="1"/>
    <col min="10912" max="10912" width="10.42578125" customWidth="1"/>
    <col min="11156" max="11156" width="7" customWidth="1"/>
    <col min="11157" max="11157" width="33.140625" customWidth="1"/>
    <col min="11158" max="11158" width="6.42578125" customWidth="1"/>
    <col min="11159" max="11159" width="29" customWidth="1"/>
    <col min="11160" max="11160" width="11.42578125" customWidth="1"/>
    <col min="11161" max="11161" width="10.7109375" customWidth="1"/>
    <col min="11162" max="11162" width="10.85546875" customWidth="1"/>
    <col min="11163" max="11163" width="11.28515625" customWidth="1"/>
    <col min="11165" max="11165" width="9.7109375" customWidth="1"/>
    <col min="11168" max="11168" width="10.42578125" customWidth="1"/>
    <col min="11412" max="11412" width="7" customWidth="1"/>
    <col min="11413" max="11413" width="33.140625" customWidth="1"/>
    <col min="11414" max="11414" width="6.42578125" customWidth="1"/>
    <col min="11415" max="11415" width="29" customWidth="1"/>
    <col min="11416" max="11416" width="11.42578125" customWidth="1"/>
    <col min="11417" max="11417" width="10.7109375" customWidth="1"/>
    <col min="11418" max="11418" width="10.85546875" customWidth="1"/>
    <col min="11419" max="11419" width="11.28515625" customWidth="1"/>
    <col min="11421" max="11421" width="9.7109375" customWidth="1"/>
    <col min="11424" max="11424" width="10.42578125" customWidth="1"/>
    <col min="11668" max="11668" width="7" customWidth="1"/>
    <col min="11669" max="11669" width="33.140625" customWidth="1"/>
    <col min="11670" max="11670" width="6.42578125" customWidth="1"/>
    <col min="11671" max="11671" width="29" customWidth="1"/>
    <col min="11672" max="11672" width="11.42578125" customWidth="1"/>
    <col min="11673" max="11673" width="10.7109375" customWidth="1"/>
    <col min="11674" max="11674" width="10.85546875" customWidth="1"/>
    <col min="11675" max="11675" width="11.28515625" customWidth="1"/>
    <col min="11677" max="11677" width="9.7109375" customWidth="1"/>
    <col min="11680" max="11680" width="10.42578125" customWidth="1"/>
    <col min="11924" max="11924" width="7" customWidth="1"/>
    <col min="11925" max="11925" width="33.140625" customWidth="1"/>
    <col min="11926" max="11926" width="6.42578125" customWidth="1"/>
    <col min="11927" max="11927" width="29" customWidth="1"/>
    <col min="11928" max="11928" width="11.42578125" customWidth="1"/>
    <col min="11929" max="11929" width="10.7109375" customWidth="1"/>
    <col min="11930" max="11930" width="10.85546875" customWidth="1"/>
    <col min="11931" max="11931" width="11.28515625" customWidth="1"/>
    <col min="11933" max="11933" width="9.7109375" customWidth="1"/>
    <col min="11936" max="11936" width="10.42578125" customWidth="1"/>
    <col min="12180" max="12180" width="7" customWidth="1"/>
    <col min="12181" max="12181" width="33.140625" customWidth="1"/>
    <col min="12182" max="12182" width="6.42578125" customWidth="1"/>
    <col min="12183" max="12183" width="29" customWidth="1"/>
    <col min="12184" max="12184" width="11.42578125" customWidth="1"/>
    <col min="12185" max="12185" width="10.7109375" customWidth="1"/>
    <col min="12186" max="12186" width="10.85546875" customWidth="1"/>
    <col min="12187" max="12187" width="11.28515625" customWidth="1"/>
    <col min="12189" max="12189" width="9.7109375" customWidth="1"/>
    <col min="12192" max="12192" width="10.42578125" customWidth="1"/>
    <col min="12436" max="12436" width="7" customWidth="1"/>
    <col min="12437" max="12437" width="33.140625" customWidth="1"/>
    <col min="12438" max="12438" width="6.42578125" customWidth="1"/>
    <col min="12439" max="12439" width="29" customWidth="1"/>
    <col min="12440" max="12440" width="11.42578125" customWidth="1"/>
    <col min="12441" max="12441" width="10.7109375" customWidth="1"/>
    <col min="12442" max="12442" width="10.85546875" customWidth="1"/>
    <col min="12443" max="12443" width="11.28515625" customWidth="1"/>
    <col min="12445" max="12445" width="9.7109375" customWidth="1"/>
    <col min="12448" max="12448" width="10.42578125" customWidth="1"/>
    <col min="12692" max="12692" width="7" customWidth="1"/>
    <col min="12693" max="12693" width="33.140625" customWidth="1"/>
    <col min="12694" max="12694" width="6.42578125" customWidth="1"/>
    <col min="12695" max="12695" width="29" customWidth="1"/>
    <col min="12696" max="12696" width="11.42578125" customWidth="1"/>
    <col min="12697" max="12697" width="10.7109375" customWidth="1"/>
    <col min="12698" max="12698" width="10.85546875" customWidth="1"/>
    <col min="12699" max="12699" width="11.28515625" customWidth="1"/>
    <col min="12701" max="12701" width="9.7109375" customWidth="1"/>
    <col min="12704" max="12704" width="10.42578125" customWidth="1"/>
    <col min="12948" max="12948" width="7" customWidth="1"/>
    <col min="12949" max="12949" width="33.140625" customWidth="1"/>
    <col min="12950" max="12950" width="6.42578125" customWidth="1"/>
    <col min="12951" max="12951" width="29" customWidth="1"/>
    <col min="12952" max="12952" width="11.42578125" customWidth="1"/>
    <col min="12953" max="12953" width="10.7109375" customWidth="1"/>
    <col min="12954" max="12954" width="10.85546875" customWidth="1"/>
    <col min="12955" max="12955" width="11.28515625" customWidth="1"/>
    <col min="12957" max="12957" width="9.7109375" customWidth="1"/>
    <col min="12960" max="12960" width="10.42578125" customWidth="1"/>
    <col min="13204" max="13204" width="7" customWidth="1"/>
    <col min="13205" max="13205" width="33.140625" customWidth="1"/>
    <col min="13206" max="13206" width="6.42578125" customWidth="1"/>
    <col min="13207" max="13207" width="29" customWidth="1"/>
    <col min="13208" max="13208" width="11.42578125" customWidth="1"/>
    <col min="13209" max="13209" width="10.7109375" customWidth="1"/>
    <col min="13210" max="13210" width="10.85546875" customWidth="1"/>
    <col min="13211" max="13211" width="11.28515625" customWidth="1"/>
    <col min="13213" max="13213" width="9.7109375" customWidth="1"/>
    <col min="13216" max="13216" width="10.42578125" customWidth="1"/>
    <col min="13460" max="13460" width="7" customWidth="1"/>
    <col min="13461" max="13461" width="33.140625" customWidth="1"/>
    <col min="13462" max="13462" width="6.42578125" customWidth="1"/>
    <col min="13463" max="13463" width="29" customWidth="1"/>
    <col min="13464" max="13464" width="11.42578125" customWidth="1"/>
    <col min="13465" max="13465" width="10.7109375" customWidth="1"/>
    <col min="13466" max="13466" width="10.85546875" customWidth="1"/>
    <col min="13467" max="13467" width="11.28515625" customWidth="1"/>
    <col min="13469" max="13469" width="9.7109375" customWidth="1"/>
    <col min="13472" max="13472" width="10.42578125" customWidth="1"/>
    <col min="13716" max="13716" width="7" customWidth="1"/>
    <col min="13717" max="13717" width="33.140625" customWidth="1"/>
    <col min="13718" max="13718" width="6.42578125" customWidth="1"/>
    <col min="13719" max="13719" width="29" customWidth="1"/>
    <col min="13720" max="13720" width="11.42578125" customWidth="1"/>
    <col min="13721" max="13721" width="10.7109375" customWidth="1"/>
    <col min="13722" max="13722" width="10.85546875" customWidth="1"/>
    <col min="13723" max="13723" width="11.28515625" customWidth="1"/>
    <col min="13725" max="13725" width="9.7109375" customWidth="1"/>
    <col min="13728" max="13728" width="10.42578125" customWidth="1"/>
    <col min="13972" max="13972" width="7" customWidth="1"/>
    <col min="13973" max="13973" width="33.140625" customWidth="1"/>
    <col min="13974" max="13974" width="6.42578125" customWidth="1"/>
    <col min="13975" max="13975" width="29" customWidth="1"/>
    <col min="13976" max="13976" width="11.42578125" customWidth="1"/>
    <col min="13977" max="13977" width="10.7109375" customWidth="1"/>
    <col min="13978" max="13978" width="10.85546875" customWidth="1"/>
    <col min="13979" max="13979" width="11.28515625" customWidth="1"/>
    <col min="13981" max="13981" width="9.7109375" customWidth="1"/>
    <col min="13984" max="13984" width="10.42578125" customWidth="1"/>
    <col min="14228" max="14228" width="7" customWidth="1"/>
    <col min="14229" max="14229" width="33.140625" customWidth="1"/>
    <col min="14230" max="14230" width="6.42578125" customWidth="1"/>
    <col min="14231" max="14231" width="29" customWidth="1"/>
    <col min="14232" max="14232" width="11.42578125" customWidth="1"/>
    <col min="14233" max="14233" width="10.7109375" customWidth="1"/>
    <col min="14234" max="14234" width="10.85546875" customWidth="1"/>
    <col min="14235" max="14235" width="11.28515625" customWidth="1"/>
    <col min="14237" max="14237" width="9.7109375" customWidth="1"/>
    <col min="14240" max="14240" width="10.42578125" customWidth="1"/>
    <col min="14484" max="14484" width="7" customWidth="1"/>
    <col min="14485" max="14485" width="33.140625" customWidth="1"/>
    <col min="14486" max="14486" width="6.42578125" customWidth="1"/>
    <col min="14487" max="14487" width="29" customWidth="1"/>
    <col min="14488" max="14488" width="11.42578125" customWidth="1"/>
    <col min="14489" max="14489" width="10.7109375" customWidth="1"/>
    <col min="14490" max="14490" width="10.85546875" customWidth="1"/>
    <col min="14491" max="14491" width="11.28515625" customWidth="1"/>
    <col min="14493" max="14493" width="9.7109375" customWidth="1"/>
    <col min="14496" max="14496" width="10.42578125" customWidth="1"/>
    <col min="14740" max="14740" width="7" customWidth="1"/>
    <col min="14741" max="14741" width="33.140625" customWidth="1"/>
    <col min="14742" max="14742" width="6.42578125" customWidth="1"/>
    <col min="14743" max="14743" width="29" customWidth="1"/>
    <col min="14744" max="14744" width="11.42578125" customWidth="1"/>
    <col min="14745" max="14745" width="10.7109375" customWidth="1"/>
    <col min="14746" max="14746" width="10.85546875" customWidth="1"/>
    <col min="14747" max="14747" width="11.28515625" customWidth="1"/>
    <col min="14749" max="14749" width="9.7109375" customWidth="1"/>
    <col min="14752" max="14752" width="10.42578125" customWidth="1"/>
    <col min="14996" max="14996" width="7" customWidth="1"/>
    <col min="14997" max="14997" width="33.140625" customWidth="1"/>
    <col min="14998" max="14998" width="6.42578125" customWidth="1"/>
    <col min="14999" max="14999" width="29" customWidth="1"/>
    <col min="15000" max="15000" width="11.42578125" customWidth="1"/>
    <col min="15001" max="15001" width="10.7109375" customWidth="1"/>
    <col min="15002" max="15002" width="10.85546875" customWidth="1"/>
    <col min="15003" max="15003" width="11.28515625" customWidth="1"/>
    <col min="15005" max="15005" width="9.7109375" customWidth="1"/>
    <col min="15008" max="15008" width="10.42578125" customWidth="1"/>
    <col min="15252" max="15252" width="7" customWidth="1"/>
    <col min="15253" max="15253" width="33.140625" customWidth="1"/>
    <col min="15254" max="15254" width="6.42578125" customWidth="1"/>
    <col min="15255" max="15255" width="29" customWidth="1"/>
    <col min="15256" max="15256" width="11.42578125" customWidth="1"/>
    <col min="15257" max="15257" width="10.7109375" customWidth="1"/>
    <col min="15258" max="15258" width="10.85546875" customWidth="1"/>
    <col min="15259" max="15259" width="11.28515625" customWidth="1"/>
    <col min="15261" max="15261" width="9.7109375" customWidth="1"/>
    <col min="15264" max="15264" width="10.42578125" customWidth="1"/>
    <col min="15508" max="15508" width="7" customWidth="1"/>
    <col min="15509" max="15509" width="33.140625" customWidth="1"/>
    <col min="15510" max="15510" width="6.42578125" customWidth="1"/>
    <col min="15511" max="15511" width="29" customWidth="1"/>
    <col min="15512" max="15512" width="11.42578125" customWidth="1"/>
    <col min="15513" max="15513" width="10.7109375" customWidth="1"/>
    <col min="15514" max="15514" width="10.85546875" customWidth="1"/>
    <col min="15515" max="15515" width="11.28515625" customWidth="1"/>
    <col min="15517" max="15517" width="9.7109375" customWidth="1"/>
    <col min="15520" max="15520" width="10.42578125" customWidth="1"/>
    <col min="15764" max="15764" width="7" customWidth="1"/>
    <col min="15765" max="15765" width="33.140625" customWidth="1"/>
    <col min="15766" max="15766" width="6.42578125" customWidth="1"/>
    <col min="15767" max="15767" width="29" customWidth="1"/>
    <col min="15768" max="15768" width="11.42578125" customWidth="1"/>
    <col min="15769" max="15769" width="10.7109375" customWidth="1"/>
    <col min="15770" max="15770" width="10.85546875" customWidth="1"/>
    <col min="15771" max="15771" width="11.28515625" customWidth="1"/>
    <col min="15773" max="15773" width="9.7109375" customWidth="1"/>
    <col min="15776" max="15776" width="10.42578125" customWidth="1"/>
    <col min="16020" max="16020" width="7" customWidth="1"/>
    <col min="16021" max="16021" width="33.140625" customWidth="1"/>
    <col min="16022" max="16022" width="6.42578125" customWidth="1"/>
    <col min="16023" max="16023" width="29" customWidth="1"/>
    <col min="16024" max="16024" width="11.42578125" customWidth="1"/>
    <col min="16025" max="16025" width="10.7109375" customWidth="1"/>
    <col min="16026" max="16026" width="10.85546875" customWidth="1"/>
    <col min="16027" max="16027" width="11.28515625" customWidth="1"/>
    <col min="16029" max="16029" width="9.7109375" customWidth="1"/>
    <col min="16032" max="16032" width="10.42578125" customWidth="1"/>
  </cols>
  <sheetData>
    <row r="1" spans="1:44" ht="15" x14ac:dyDescent="0.25">
      <c r="A1" s="46" t="s">
        <v>2</v>
      </c>
      <c r="B1" s="46"/>
      <c r="C1" s="38"/>
      <c r="D1" s="46"/>
      <c r="E1" s="46"/>
      <c r="F1" s="61"/>
      <c r="G1" s="61"/>
      <c r="H1" s="61"/>
      <c r="AC1" s="48"/>
      <c r="AD1" s="48"/>
      <c r="AE1" s="59"/>
      <c r="AF1" s="59"/>
      <c r="AG1" s="59"/>
      <c r="AH1" s="59"/>
      <c r="AI1" s="59"/>
      <c r="AJ1" s="59"/>
      <c r="AK1" s="59"/>
      <c r="AL1" s="48"/>
      <c r="AM1" s="48"/>
      <c r="AN1" s="48"/>
      <c r="AO1" s="48"/>
      <c r="AP1" s="48"/>
      <c r="AQ1" s="48"/>
      <c r="AR1" s="59"/>
    </row>
    <row r="2" spans="1:44" ht="15" x14ac:dyDescent="0.25">
      <c r="A2" s="46" t="s">
        <v>3</v>
      </c>
      <c r="B2" s="46"/>
      <c r="C2" s="38"/>
      <c r="D2" s="46"/>
      <c r="E2" s="46"/>
      <c r="F2" s="61"/>
      <c r="G2" s="61"/>
      <c r="H2" s="61"/>
    </row>
    <row r="3" spans="1:44" ht="12.75" customHeight="1" x14ac:dyDescent="0.25">
      <c r="A3" s="972" t="s">
        <v>4</v>
      </c>
      <c r="B3" s="972"/>
      <c r="C3" s="972"/>
      <c r="D3" s="972"/>
      <c r="E3" s="972"/>
      <c r="F3" s="61"/>
      <c r="G3" s="61"/>
      <c r="H3" s="61"/>
      <c r="AE3" s="412"/>
    </row>
    <row r="4" spans="1:44" ht="15" x14ac:dyDescent="0.25">
      <c r="A4" s="60"/>
      <c r="B4" s="46"/>
      <c r="C4" s="46"/>
      <c r="D4" s="46"/>
      <c r="E4" s="46"/>
      <c r="F4" s="61"/>
      <c r="G4" s="61"/>
      <c r="H4" s="61"/>
      <c r="O4" s="49"/>
      <c r="P4" s="90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  <c r="AF4" s="900"/>
      <c r="AG4" s="50"/>
      <c r="AH4" s="50"/>
      <c r="AI4" s="50"/>
      <c r="AJ4" s="50"/>
      <c r="AK4" s="50"/>
    </row>
    <row r="5" spans="1:44" ht="16.5" thickBot="1" x14ac:dyDescent="0.3">
      <c r="A5" s="127" t="s">
        <v>841</v>
      </c>
      <c r="B5" s="475"/>
      <c r="C5" s="475"/>
      <c r="D5" s="475"/>
      <c r="E5" s="474"/>
      <c r="F5" s="551"/>
      <c r="G5" s="551"/>
      <c r="H5" s="47"/>
      <c r="O5" s="322"/>
      <c r="P5" s="707" t="s">
        <v>832</v>
      </c>
      <c r="Q5" s="49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49"/>
      <c r="AC5" s="49"/>
      <c r="AD5" s="49"/>
      <c r="AE5" s="50"/>
      <c r="AF5" s="707" t="s">
        <v>832</v>
      </c>
      <c r="AG5" s="50"/>
      <c r="AH5" s="50"/>
      <c r="AI5" s="50"/>
      <c r="AJ5" s="50"/>
      <c r="AK5" s="50"/>
    </row>
    <row r="6" spans="1:44" ht="15" customHeight="1" thickBot="1" x14ac:dyDescent="0.3">
      <c r="A6" s="390"/>
      <c r="B6" s="391"/>
      <c r="C6" s="392"/>
      <c r="D6" s="392"/>
      <c r="E6" s="391"/>
      <c r="F6" s="391"/>
      <c r="G6" s="47"/>
      <c r="H6" s="61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4" ht="16.5" customHeight="1" thickBot="1" x14ac:dyDescent="0.3">
      <c r="A7" s="60"/>
      <c r="B7" s="5"/>
      <c r="D7" s="9"/>
      <c r="E7" s="5"/>
      <c r="F7" s="61"/>
      <c r="G7" s="61"/>
      <c r="H7" s="61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4" ht="15" customHeight="1" x14ac:dyDescent="0.25">
      <c r="A8" s="87"/>
      <c r="B8" s="62"/>
      <c r="C8" s="62"/>
      <c r="D8" s="62"/>
      <c r="E8" s="62"/>
      <c r="F8" s="62"/>
      <c r="G8" s="62"/>
      <c r="H8" s="62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4" ht="19.5" customHeight="1" thickBot="1" x14ac:dyDescent="0.25">
      <c r="A9" s="10" t="s">
        <v>747</v>
      </c>
      <c r="D9" s="10"/>
      <c r="F9" s="51"/>
      <c r="G9" s="52"/>
      <c r="H9" s="52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4" ht="27" customHeight="1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90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4" s="91" customFormat="1" ht="12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93" t="s">
        <v>517</v>
      </c>
      <c r="H11" s="94" t="s">
        <v>725</v>
      </c>
      <c r="I11" s="575" t="s">
        <v>254</v>
      </c>
      <c r="J11" s="533" t="s">
        <v>255</v>
      </c>
      <c r="K11" s="533" t="s">
        <v>256</v>
      </c>
      <c r="L11" s="533" t="s">
        <v>257</v>
      </c>
      <c r="M11" s="533" t="s">
        <v>804</v>
      </c>
      <c r="N11" s="576" t="s">
        <v>827</v>
      </c>
      <c r="O11" s="534" t="s">
        <v>776</v>
      </c>
      <c r="P11" s="533" t="s">
        <v>789</v>
      </c>
      <c r="Q11" s="533" t="s">
        <v>776</v>
      </c>
      <c r="R11" s="533" t="s">
        <v>776</v>
      </c>
      <c r="S11" s="533" t="s">
        <v>789</v>
      </c>
      <c r="T11" s="533" t="s">
        <v>789</v>
      </c>
      <c r="U11" s="533" t="s">
        <v>776</v>
      </c>
      <c r="V11" s="534" t="s">
        <v>777</v>
      </c>
      <c r="W11" s="533" t="s">
        <v>777</v>
      </c>
      <c r="X11" s="533" t="s">
        <v>777</v>
      </c>
      <c r="Y11" s="533" t="s">
        <v>777</v>
      </c>
      <c r="Z11" s="534" t="s">
        <v>775</v>
      </c>
      <c r="AA11" s="533" t="s">
        <v>273</v>
      </c>
      <c r="AB11" s="533" t="s">
        <v>274</v>
      </c>
      <c r="AC11" s="533" t="s">
        <v>803</v>
      </c>
      <c r="AD11" s="580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34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827</v>
      </c>
    </row>
    <row r="12" spans="1:44" ht="14.1" customHeight="1" x14ac:dyDescent="0.2">
      <c r="A12" s="424">
        <v>1</v>
      </c>
      <c r="B12" s="425">
        <v>3475</v>
      </c>
      <c r="C12" s="425">
        <v>691008604</v>
      </c>
      <c r="D12" s="425">
        <v>4624548</v>
      </c>
      <c r="E12" s="426" t="s">
        <v>112</v>
      </c>
      <c r="F12" s="425">
        <v>3111</v>
      </c>
      <c r="G12" s="427" t="s">
        <v>277</v>
      </c>
      <c r="H12" s="562" t="s">
        <v>262</v>
      </c>
      <c r="I12" s="585">
        <f>SUM(J12:L12)</f>
        <v>3409307</v>
      </c>
      <c r="J12" s="524">
        <v>2529159</v>
      </c>
      <c r="K12" s="781">
        <f>ROUND(J12*33.8%,0)</f>
        <v>854856</v>
      </c>
      <c r="L12" s="781">
        <f>ROUND(J12*1%,0)</f>
        <v>25292</v>
      </c>
      <c r="M12" s="781">
        <v>0</v>
      </c>
      <c r="N12" s="708">
        <v>4.0599999999999996</v>
      </c>
      <c r="O12" s="577">
        <f>V12*-1</f>
        <v>0</v>
      </c>
      <c r="P12" s="578">
        <v>0</v>
      </c>
      <c r="Q12" s="578">
        <v>0</v>
      </c>
      <c r="R12" s="578">
        <v>0</v>
      </c>
      <c r="S12" s="578">
        <v>0</v>
      </c>
      <c r="T12" s="578">
        <v>0</v>
      </c>
      <c r="U12" s="578">
        <f>O12+P12+Q12+R12+S12+T12</f>
        <v>0</v>
      </c>
      <c r="V12" s="578">
        <v>0</v>
      </c>
      <c r="W12" s="578">
        <v>0</v>
      </c>
      <c r="X12" s="578">
        <v>0</v>
      </c>
      <c r="Y12" s="578">
        <f>V12+W12+X12</f>
        <v>0</v>
      </c>
      <c r="Z12" s="578">
        <f>U12+Y12</f>
        <v>0</v>
      </c>
      <c r="AA12" s="581">
        <f>ROUND((U12+Y12)*33.8%,0)</f>
        <v>0</v>
      </c>
      <c r="AB12" s="581">
        <f>ROUND(U12*1%,0)</f>
        <v>0</v>
      </c>
      <c r="AC12" s="578">
        <v>0</v>
      </c>
      <c r="AD12" s="578">
        <f>Z12+AA12+AB12+AC12</f>
        <v>0</v>
      </c>
      <c r="AE12" s="582">
        <v>0</v>
      </c>
      <c r="AF12" s="582">
        <v>0</v>
      </c>
      <c r="AG12" s="582">
        <v>0</v>
      </c>
      <c r="AH12" s="582">
        <v>0</v>
      </c>
      <c r="AI12" s="582">
        <v>0</v>
      </c>
      <c r="AJ12" s="582">
        <v>0</v>
      </c>
      <c r="AK12" s="582">
        <f>SUM(AE12:AJ12)</f>
        <v>0</v>
      </c>
      <c r="AL12" s="578">
        <f>I12+AD12</f>
        <v>3409307</v>
      </c>
      <c r="AM12" s="578">
        <f>J12+U12</f>
        <v>2529159</v>
      </c>
      <c r="AN12" s="578">
        <f>Y12</f>
        <v>0</v>
      </c>
      <c r="AO12" s="578">
        <f t="shared" ref="AO12:AQ13" si="0">K12+AA12</f>
        <v>854856</v>
      </c>
      <c r="AP12" s="578">
        <f t="shared" si="0"/>
        <v>25292</v>
      </c>
      <c r="AQ12" s="578">
        <f t="shared" si="0"/>
        <v>0</v>
      </c>
      <c r="AR12" s="582">
        <f>N12+AK12</f>
        <v>4.0599999999999996</v>
      </c>
    </row>
    <row r="13" spans="1:44" ht="13.5" customHeight="1" x14ac:dyDescent="0.2">
      <c r="A13" s="136">
        <v>1</v>
      </c>
      <c r="B13" s="137">
        <v>3475</v>
      </c>
      <c r="C13" s="137">
        <v>691008604</v>
      </c>
      <c r="D13" s="137">
        <v>4624548</v>
      </c>
      <c r="E13" s="135" t="s">
        <v>113</v>
      </c>
      <c r="F13" s="137">
        <v>3111</v>
      </c>
      <c r="G13" s="138" t="s">
        <v>278</v>
      </c>
      <c r="H13" s="563" t="s">
        <v>263</v>
      </c>
      <c r="I13" s="586">
        <f>SUM(J13:L13)</f>
        <v>0</v>
      </c>
      <c r="J13" s="490"/>
      <c r="K13" s="55">
        <f>ROUND(J13*33.8%,0)</f>
        <v>0</v>
      </c>
      <c r="L13" s="55">
        <f>ROUND(J13*1%,0)</f>
        <v>0</v>
      </c>
      <c r="M13" s="55">
        <v>0</v>
      </c>
      <c r="N13" s="631">
        <v>0</v>
      </c>
      <c r="O13" s="440">
        <f>V13*-1</f>
        <v>0</v>
      </c>
      <c r="P13" s="325">
        <v>297636</v>
      </c>
      <c r="Q13" s="325">
        <v>0</v>
      </c>
      <c r="R13" s="325">
        <v>0</v>
      </c>
      <c r="S13" s="325">
        <v>0</v>
      </c>
      <c r="T13" s="325">
        <v>0</v>
      </c>
      <c r="U13" s="492">
        <f>O13+P13+Q13+R13+S13+T13</f>
        <v>297636</v>
      </c>
      <c r="V13" s="325">
        <v>0</v>
      </c>
      <c r="W13" s="325">
        <v>0</v>
      </c>
      <c r="X13" s="325">
        <v>0</v>
      </c>
      <c r="Y13" s="492">
        <f>V13+W13+X13</f>
        <v>0</v>
      </c>
      <c r="Z13" s="492">
        <f>U13+Y13</f>
        <v>297636</v>
      </c>
      <c r="AA13" s="494">
        <f>ROUND((U13+Y13)*33.8%,0)</f>
        <v>100601</v>
      </c>
      <c r="AB13" s="494">
        <f>ROUND(U13*1%,0)</f>
        <v>2976</v>
      </c>
      <c r="AC13" s="492">
        <v>0</v>
      </c>
      <c r="AD13" s="492">
        <f>Z13+AA13+AB13+AC13</f>
        <v>401213</v>
      </c>
      <c r="AE13" s="326">
        <v>0</v>
      </c>
      <c r="AF13" s="326">
        <v>0.75</v>
      </c>
      <c r="AG13" s="326">
        <v>0</v>
      </c>
      <c r="AH13" s="326">
        <v>0</v>
      </c>
      <c r="AI13" s="326">
        <v>0</v>
      </c>
      <c r="AJ13" s="326">
        <v>0</v>
      </c>
      <c r="AK13" s="491">
        <f>SUM(AE13:AJ13)</f>
        <v>0.75</v>
      </c>
      <c r="AL13" s="492">
        <f>I13+AD13</f>
        <v>401213</v>
      </c>
      <c r="AM13" s="492">
        <f>J13+U13</f>
        <v>297636</v>
      </c>
      <c r="AN13" s="492">
        <f>Y13</f>
        <v>0</v>
      </c>
      <c r="AO13" s="492">
        <f t="shared" si="0"/>
        <v>100601</v>
      </c>
      <c r="AP13" s="492">
        <f t="shared" si="0"/>
        <v>2976</v>
      </c>
      <c r="AQ13" s="492">
        <f t="shared" si="0"/>
        <v>0</v>
      </c>
      <c r="AR13" s="491">
        <f>N13+AK13</f>
        <v>0.75</v>
      </c>
    </row>
    <row r="14" spans="1:44" ht="13.5" customHeight="1" x14ac:dyDescent="0.2">
      <c r="A14" s="107">
        <v>1</v>
      </c>
      <c r="B14" s="15">
        <v>3475</v>
      </c>
      <c r="C14" s="15">
        <v>691008604</v>
      </c>
      <c r="D14" s="15">
        <v>4624548</v>
      </c>
      <c r="E14" s="116" t="s">
        <v>114</v>
      </c>
      <c r="F14" s="15"/>
      <c r="G14" s="106"/>
      <c r="H14" s="560"/>
      <c r="I14" s="794">
        <f t="shared" ref="I14:AR14" si="1">SUM(I12:I13)</f>
        <v>3409307</v>
      </c>
      <c r="J14" s="343">
        <f t="shared" si="1"/>
        <v>2529159</v>
      </c>
      <c r="K14" s="343">
        <f t="shared" si="1"/>
        <v>854856</v>
      </c>
      <c r="L14" s="343">
        <f t="shared" si="1"/>
        <v>25292</v>
      </c>
      <c r="M14" s="343">
        <f t="shared" si="1"/>
        <v>0</v>
      </c>
      <c r="N14" s="35">
        <f t="shared" si="1"/>
        <v>4.0599999999999996</v>
      </c>
      <c r="O14" s="346">
        <f t="shared" si="1"/>
        <v>0</v>
      </c>
      <c r="P14" s="343">
        <f t="shared" si="1"/>
        <v>297636</v>
      </c>
      <c r="Q14" s="343">
        <f t="shared" si="1"/>
        <v>0</v>
      </c>
      <c r="R14" s="343">
        <f t="shared" si="1"/>
        <v>0</v>
      </c>
      <c r="S14" s="343">
        <f t="shared" si="1"/>
        <v>0</v>
      </c>
      <c r="T14" s="343">
        <f t="shared" si="1"/>
        <v>0</v>
      </c>
      <c r="U14" s="343">
        <f t="shared" si="1"/>
        <v>297636</v>
      </c>
      <c r="V14" s="343">
        <f t="shared" si="1"/>
        <v>0</v>
      </c>
      <c r="W14" s="343">
        <f t="shared" si="1"/>
        <v>0</v>
      </c>
      <c r="X14" s="343">
        <f t="shared" si="1"/>
        <v>0</v>
      </c>
      <c r="Y14" s="343">
        <f t="shared" si="1"/>
        <v>0</v>
      </c>
      <c r="Z14" s="343">
        <f t="shared" si="1"/>
        <v>297636</v>
      </c>
      <c r="AA14" s="343">
        <f t="shared" si="1"/>
        <v>100601</v>
      </c>
      <c r="AB14" s="343">
        <f t="shared" si="1"/>
        <v>2976</v>
      </c>
      <c r="AC14" s="343">
        <f t="shared" si="1"/>
        <v>0</v>
      </c>
      <c r="AD14" s="343">
        <f t="shared" si="1"/>
        <v>401213</v>
      </c>
      <c r="AE14" s="344">
        <f t="shared" si="1"/>
        <v>0</v>
      </c>
      <c r="AF14" s="344">
        <f t="shared" si="1"/>
        <v>0.75</v>
      </c>
      <c r="AG14" s="344">
        <f t="shared" si="1"/>
        <v>0</v>
      </c>
      <c r="AH14" s="344">
        <f t="shared" si="1"/>
        <v>0</v>
      </c>
      <c r="AI14" s="344">
        <f t="shared" si="1"/>
        <v>0</v>
      </c>
      <c r="AJ14" s="344">
        <f t="shared" si="1"/>
        <v>0</v>
      </c>
      <c r="AK14" s="35">
        <f t="shared" si="1"/>
        <v>0.75</v>
      </c>
      <c r="AL14" s="346">
        <f t="shared" si="1"/>
        <v>3810520</v>
      </c>
      <c r="AM14" s="343">
        <f t="shared" si="1"/>
        <v>2826795</v>
      </c>
      <c r="AN14" s="343">
        <f t="shared" si="1"/>
        <v>0</v>
      </c>
      <c r="AO14" s="343">
        <f t="shared" si="1"/>
        <v>955457</v>
      </c>
      <c r="AP14" s="343">
        <f t="shared" si="1"/>
        <v>28268</v>
      </c>
      <c r="AQ14" s="343">
        <f t="shared" si="1"/>
        <v>0</v>
      </c>
      <c r="AR14" s="344">
        <f t="shared" si="1"/>
        <v>4.8099999999999996</v>
      </c>
    </row>
    <row r="15" spans="1:44" ht="13.5" customHeight="1" x14ac:dyDescent="0.2">
      <c r="A15" s="136">
        <v>2</v>
      </c>
      <c r="B15" s="137">
        <v>3449</v>
      </c>
      <c r="C15" s="137">
        <v>600078116</v>
      </c>
      <c r="D15" s="137">
        <v>70695016</v>
      </c>
      <c r="E15" s="135" t="s">
        <v>115</v>
      </c>
      <c r="F15" s="137">
        <v>3111</v>
      </c>
      <c r="G15" s="138" t="s">
        <v>277</v>
      </c>
      <c r="H15" s="563" t="s">
        <v>262</v>
      </c>
      <c r="I15" s="586">
        <f>SUM(J15:L15)</f>
        <v>4705912</v>
      </c>
      <c r="J15" s="490">
        <v>3491033</v>
      </c>
      <c r="K15" s="55">
        <f t="shared" ref="K15:K16" si="2">ROUND(J15*33.8%,0)</f>
        <v>1179969</v>
      </c>
      <c r="L15" s="55">
        <f t="shared" ref="L15:L16" si="3">ROUND(J15*1%,0)</f>
        <v>34910</v>
      </c>
      <c r="M15" s="55">
        <v>0</v>
      </c>
      <c r="N15" s="631">
        <v>6</v>
      </c>
      <c r="O15" s="445">
        <f>V15*-1</f>
        <v>-30000</v>
      </c>
      <c r="P15" s="325">
        <v>0</v>
      </c>
      <c r="Q15" s="325">
        <v>0</v>
      </c>
      <c r="R15" s="325">
        <v>0</v>
      </c>
      <c r="S15" s="325">
        <v>0</v>
      </c>
      <c r="T15" s="325">
        <v>0</v>
      </c>
      <c r="U15" s="492">
        <f t="shared" ref="U15:U16" si="4">O15+P15+Q15+R15+S15+T15</f>
        <v>-30000</v>
      </c>
      <c r="V15" s="325">
        <v>30000</v>
      </c>
      <c r="W15" s="325">
        <v>0</v>
      </c>
      <c r="X15" s="325">
        <v>0</v>
      </c>
      <c r="Y15" s="492">
        <f t="shared" ref="Y15:Y16" si="5">V15+W15+X15</f>
        <v>30000</v>
      </c>
      <c r="Z15" s="492">
        <f t="shared" ref="Z15:Z16" si="6">U15+Y15</f>
        <v>0</v>
      </c>
      <c r="AA15" s="494">
        <f t="shared" ref="AA15:AA16" si="7">ROUND((U15+Y15)*33.8%,0)</f>
        <v>0</v>
      </c>
      <c r="AB15" s="494">
        <f t="shared" ref="AB15:AB16" si="8">ROUND(U15*1%,0)</f>
        <v>-300</v>
      </c>
      <c r="AC15" s="492">
        <v>0</v>
      </c>
      <c r="AD15" s="492">
        <f t="shared" ref="AD15:AD16" si="9">Z15+AA15+AB15+AC15</f>
        <v>-300</v>
      </c>
      <c r="AE15" s="326">
        <v>0</v>
      </c>
      <c r="AF15" s="326">
        <v>0</v>
      </c>
      <c r="AG15" s="326">
        <v>0</v>
      </c>
      <c r="AH15" s="326">
        <v>0</v>
      </c>
      <c r="AI15" s="326">
        <v>0</v>
      </c>
      <c r="AJ15" s="326">
        <v>0</v>
      </c>
      <c r="AK15" s="491">
        <f t="shared" ref="AK15:AK16" si="10">SUM(AE15:AJ15)</f>
        <v>0</v>
      </c>
      <c r="AL15" s="492">
        <f>I15+AD15</f>
        <v>4705612</v>
      </c>
      <c r="AM15" s="492">
        <f>J15+U15</f>
        <v>3461033</v>
      </c>
      <c r="AN15" s="492">
        <f t="shared" ref="AN15:AN16" si="11">Y15</f>
        <v>30000</v>
      </c>
      <c r="AO15" s="492">
        <f>K15+AA15</f>
        <v>1179969</v>
      </c>
      <c r="AP15" s="492">
        <f>L15+AB15</f>
        <v>34610</v>
      </c>
      <c r="AQ15" s="492">
        <f t="shared" ref="AQ15:AQ16" si="12">M15+AC15</f>
        <v>0</v>
      </c>
      <c r="AR15" s="491">
        <f t="shared" ref="AR15:AR16" si="13">N15+AK15</f>
        <v>6</v>
      </c>
    </row>
    <row r="16" spans="1:44" ht="13.5" customHeight="1" x14ac:dyDescent="0.2">
      <c r="A16" s="136">
        <v>2</v>
      </c>
      <c r="B16" s="137">
        <v>3449</v>
      </c>
      <c r="C16" s="137">
        <v>600078116</v>
      </c>
      <c r="D16" s="137">
        <v>70695016</v>
      </c>
      <c r="E16" s="135" t="s">
        <v>115</v>
      </c>
      <c r="F16" s="137">
        <v>3111</v>
      </c>
      <c r="G16" s="138" t="s">
        <v>278</v>
      </c>
      <c r="H16" s="563" t="s">
        <v>263</v>
      </c>
      <c r="I16" s="586">
        <f>SUM(J16:L16)</f>
        <v>0</v>
      </c>
      <c r="J16" s="490"/>
      <c r="K16" s="55">
        <f t="shared" si="2"/>
        <v>0</v>
      </c>
      <c r="L16" s="55">
        <f t="shared" si="3"/>
        <v>0</v>
      </c>
      <c r="M16" s="55">
        <v>0</v>
      </c>
      <c r="N16" s="631">
        <v>0</v>
      </c>
      <c r="O16" s="440">
        <f>V16*-1</f>
        <v>0</v>
      </c>
      <c r="P16" s="325">
        <v>793694</v>
      </c>
      <c r="Q16" s="325">
        <v>0</v>
      </c>
      <c r="R16" s="325">
        <v>0</v>
      </c>
      <c r="S16" s="325">
        <v>0</v>
      </c>
      <c r="T16" s="325">
        <v>0</v>
      </c>
      <c r="U16" s="492">
        <f t="shared" si="4"/>
        <v>793694</v>
      </c>
      <c r="V16" s="325">
        <v>0</v>
      </c>
      <c r="W16" s="325">
        <v>0</v>
      </c>
      <c r="X16" s="325">
        <v>0</v>
      </c>
      <c r="Y16" s="492">
        <f t="shared" si="5"/>
        <v>0</v>
      </c>
      <c r="Z16" s="492">
        <f t="shared" si="6"/>
        <v>793694</v>
      </c>
      <c r="AA16" s="494">
        <f t="shared" si="7"/>
        <v>268269</v>
      </c>
      <c r="AB16" s="494">
        <f t="shared" si="8"/>
        <v>7937</v>
      </c>
      <c r="AC16" s="492">
        <v>0</v>
      </c>
      <c r="AD16" s="492">
        <f t="shared" si="9"/>
        <v>1069900</v>
      </c>
      <c r="AE16" s="326">
        <v>0</v>
      </c>
      <c r="AF16" s="326">
        <v>2</v>
      </c>
      <c r="AG16" s="326">
        <v>0</v>
      </c>
      <c r="AH16" s="326">
        <v>0</v>
      </c>
      <c r="AI16" s="326">
        <v>0</v>
      </c>
      <c r="AJ16" s="326">
        <v>0</v>
      </c>
      <c r="AK16" s="491">
        <f t="shared" si="10"/>
        <v>2</v>
      </c>
      <c r="AL16" s="492">
        <f>I16+AD16</f>
        <v>1069900</v>
      </c>
      <c r="AM16" s="492">
        <f>J16+U16</f>
        <v>793694</v>
      </c>
      <c r="AN16" s="492">
        <f t="shared" si="11"/>
        <v>0</v>
      </c>
      <c r="AO16" s="492">
        <f>K16+AA16</f>
        <v>268269</v>
      </c>
      <c r="AP16" s="492">
        <f>L16+AB16</f>
        <v>7937</v>
      </c>
      <c r="AQ16" s="492">
        <f t="shared" si="12"/>
        <v>0</v>
      </c>
      <c r="AR16" s="491">
        <f t="shared" si="13"/>
        <v>2</v>
      </c>
    </row>
    <row r="17" spans="1:44" ht="13.5" customHeight="1" x14ac:dyDescent="0.2">
      <c r="A17" s="107">
        <v>2</v>
      </c>
      <c r="B17" s="15">
        <v>3449</v>
      </c>
      <c r="C17" s="15">
        <v>600078116</v>
      </c>
      <c r="D17" s="15">
        <v>70695016</v>
      </c>
      <c r="E17" s="116" t="s">
        <v>116</v>
      </c>
      <c r="F17" s="15"/>
      <c r="G17" s="106"/>
      <c r="H17" s="560"/>
      <c r="I17" s="794">
        <f t="shared" ref="I17:AR17" si="14">SUM(I15:I16)</f>
        <v>4705912</v>
      </c>
      <c r="J17" s="343">
        <f t="shared" si="14"/>
        <v>3491033</v>
      </c>
      <c r="K17" s="343">
        <f t="shared" si="14"/>
        <v>1179969</v>
      </c>
      <c r="L17" s="343">
        <f t="shared" si="14"/>
        <v>34910</v>
      </c>
      <c r="M17" s="343">
        <f t="shared" si="14"/>
        <v>0</v>
      </c>
      <c r="N17" s="35">
        <f t="shared" si="14"/>
        <v>6</v>
      </c>
      <c r="O17" s="346">
        <f t="shared" si="14"/>
        <v>-30000</v>
      </c>
      <c r="P17" s="343">
        <f t="shared" si="14"/>
        <v>793694</v>
      </c>
      <c r="Q17" s="343">
        <f t="shared" si="14"/>
        <v>0</v>
      </c>
      <c r="R17" s="343">
        <f t="shared" si="14"/>
        <v>0</v>
      </c>
      <c r="S17" s="343">
        <f t="shared" si="14"/>
        <v>0</v>
      </c>
      <c r="T17" s="343">
        <f t="shared" si="14"/>
        <v>0</v>
      </c>
      <c r="U17" s="343">
        <f t="shared" si="14"/>
        <v>763694</v>
      </c>
      <c r="V17" s="343">
        <f t="shared" si="14"/>
        <v>30000</v>
      </c>
      <c r="W17" s="343">
        <f t="shared" si="14"/>
        <v>0</v>
      </c>
      <c r="X17" s="343">
        <f t="shared" si="14"/>
        <v>0</v>
      </c>
      <c r="Y17" s="343">
        <f t="shared" si="14"/>
        <v>30000</v>
      </c>
      <c r="Z17" s="343">
        <f t="shared" si="14"/>
        <v>793694</v>
      </c>
      <c r="AA17" s="343">
        <f t="shared" si="14"/>
        <v>268269</v>
      </c>
      <c r="AB17" s="343">
        <f t="shared" si="14"/>
        <v>7637</v>
      </c>
      <c r="AC17" s="343">
        <f t="shared" si="14"/>
        <v>0</v>
      </c>
      <c r="AD17" s="343">
        <f t="shared" si="14"/>
        <v>1069600</v>
      </c>
      <c r="AE17" s="344">
        <f t="shared" si="14"/>
        <v>0</v>
      </c>
      <c r="AF17" s="344">
        <f t="shared" si="14"/>
        <v>2</v>
      </c>
      <c r="AG17" s="344">
        <f t="shared" si="14"/>
        <v>0</v>
      </c>
      <c r="AH17" s="344">
        <f t="shared" si="14"/>
        <v>0</v>
      </c>
      <c r="AI17" s="344">
        <f t="shared" si="14"/>
        <v>0</v>
      </c>
      <c r="AJ17" s="344">
        <f t="shared" si="14"/>
        <v>0</v>
      </c>
      <c r="AK17" s="35">
        <f t="shared" si="14"/>
        <v>2</v>
      </c>
      <c r="AL17" s="346">
        <f t="shared" si="14"/>
        <v>5775512</v>
      </c>
      <c r="AM17" s="343">
        <f t="shared" si="14"/>
        <v>4254727</v>
      </c>
      <c r="AN17" s="343">
        <f t="shared" si="14"/>
        <v>30000</v>
      </c>
      <c r="AO17" s="343">
        <f t="shared" si="14"/>
        <v>1448238</v>
      </c>
      <c r="AP17" s="343">
        <f t="shared" si="14"/>
        <v>42547</v>
      </c>
      <c r="AQ17" s="343">
        <f t="shared" si="14"/>
        <v>0</v>
      </c>
      <c r="AR17" s="344">
        <f t="shared" si="14"/>
        <v>8</v>
      </c>
    </row>
    <row r="18" spans="1:44" ht="13.5" customHeight="1" x14ac:dyDescent="0.2">
      <c r="A18" s="136">
        <v>3</v>
      </c>
      <c r="B18" s="137">
        <v>3451</v>
      </c>
      <c r="C18" s="137">
        <v>600078621</v>
      </c>
      <c r="D18" s="137">
        <v>70694991</v>
      </c>
      <c r="E18" s="135" t="s">
        <v>117</v>
      </c>
      <c r="F18" s="137">
        <v>3111</v>
      </c>
      <c r="G18" s="138" t="s">
        <v>277</v>
      </c>
      <c r="H18" s="563" t="s">
        <v>262</v>
      </c>
      <c r="I18" s="586">
        <f>SUM(J18:L18)</f>
        <v>4918686</v>
      </c>
      <c r="J18" s="490">
        <v>3648877</v>
      </c>
      <c r="K18" s="55">
        <f t="shared" ref="K18:K19" si="15">ROUND(J18*33.8%,0)</f>
        <v>1233320</v>
      </c>
      <c r="L18" s="55">
        <f t="shared" ref="L18:L19" si="16">ROUND(J18*1%,0)</f>
        <v>36489</v>
      </c>
      <c r="M18" s="55">
        <v>0</v>
      </c>
      <c r="N18" s="631">
        <v>6</v>
      </c>
      <c r="O18" s="445">
        <f>V18*-1</f>
        <v>0</v>
      </c>
      <c r="P18" s="325">
        <v>0</v>
      </c>
      <c r="Q18" s="325">
        <v>0</v>
      </c>
      <c r="R18" s="325">
        <v>0</v>
      </c>
      <c r="S18" s="325">
        <v>0</v>
      </c>
      <c r="T18" s="325">
        <v>0</v>
      </c>
      <c r="U18" s="492">
        <f t="shared" ref="U18:U19" si="17">O18+P18+Q18+R18+S18+T18</f>
        <v>0</v>
      </c>
      <c r="V18" s="325">
        <v>0</v>
      </c>
      <c r="W18" s="325">
        <v>0</v>
      </c>
      <c r="X18" s="325">
        <v>0</v>
      </c>
      <c r="Y18" s="492">
        <f t="shared" ref="Y18:Y19" si="18">V18+W18+X18</f>
        <v>0</v>
      </c>
      <c r="Z18" s="492">
        <f t="shared" ref="Z18:Z19" si="19">U18+Y18</f>
        <v>0</v>
      </c>
      <c r="AA18" s="494">
        <f t="shared" ref="AA18:AA19" si="20">ROUND((U18+Y18)*33.8%,0)</f>
        <v>0</v>
      </c>
      <c r="AB18" s="494">
        <f t="shared" ref="AB18:AB19" si="21">ROUND(U18*1%,0)</f>
        <v>0</v>
      </c>
      <c r="AC18" s="492">
        <v>0</v>
      </c>
      <c r="AD18" s="492">
        <f t="shared" ref="AD18:AD19" si="22">Z18+AA18+AB18+AC18</f>
        <v>0</v>
      </c>
      <c r="AE18" s="326">
        <v>0</v>
      </c>
      <c r="AF18" s="326">
        <v>0</v>
      </c>
      <c r="AG18" s="326">
        <v>0</v>
      </c>
      <c r="AH18" s="326">
        <v>0</v>
      </c>
      <c r="AI18" s="326">
        <v>0</v>
      </c>
      <c r="AJ18" s="326">
        <v>0</v>
      </c>
      <c r="AK18" s="491">
        <f t="shared" ref="AK18:AK19" si="23">SUM(AE18:AJ18)</f>
        <v>0</v>
      </c>
      <c r="AL18" s="492">
        <f>I18+AD18</f>
        <v>4918686</v>
      </c>
      <c r="AM18" s="492">
        <f>J18+U18</f>
        <v>3648877</v>
      </c>
      <c r="AN18" s="492">
        <f t="shared" ref="AN18:AN19" si="24">Y18</f>
        <v>0</v>
      </c>
      <c r="AO18" s="492">
        <f>K18+AA18</f>
        <v>1233320</v>
      </c>
      <c r="AP18" s="492">
        <f>L18+AB18</f>
        <v>36489</v>
      </c>
      <c r="AQ18" s="492">
        <f t="shared" ref="AQ18:AQ19" si="25">M18+AC18</f>
        <v>0</v>
      </c>
      <c r="AR18" s="491">
        <f t="shared" ref="AR18:AR19" si="26">N18+AK18</f>
        <v>6</v>
      </c>
    </row>
    <row r="19" spans="1:44" ht="13.5" customHeight="1" x14ac:dyDescent="0.2">
      <c r="A19" s="136">
        <v>3</v>
      </c>
      <c r="B19" s="137">
        <v>3451</v>
      </c>
      <c r="C19" s="137">
        <v>600078621</v>
      </c>
      <c r="D19" s="137">
        <v>70694991</v>
      </c>
      <c r="E19" s="135" t="s">
        <v>117</v>
      </c>
      <c r="F19" s="137">
        <v>3111</v>
      </c>
      <c r="G19" s="138" t="s">
        <v>278</v>
      </c>
      <c r="H19" s="563" t="s">
        <v>263</v>
      </c>
      <c r="I19" s="586">
        <f>SUM(J19:L19)</f>
        <v>0</v>
      </c>
      <c r="J19" s="490"/>
      <c r="K19" s="55">
        <f t="shared" si="15"/>
        <v>0</v>
      </c>
      <c r="L19" s="55">
        <f t="shared" si="16"/>
        <v>0</v>
      </c>
      <c r="M19" s="55">
        <v>0</v>
      </c>
      <c r="N19" s="631">
        <v>0</v>
      </c>
      <c r="O19" s="440">
        <f>V19*-1</f>
        <v>0</v>
      </c>
      <c r="P19" s="325">
        <v>793694</v>
      </c>
      <c r="Q19" s="325">
        <v>0</v>
      </c>
      <c r="R19" s="325">
        <v>0</v>
      </c>
      <c r="S19" s="325">
        <v>0</v>
      </c>
      <c r="T19" s="325">
        <v>0</v>
      </c>
      <c r="U19" s="492">
        <f t="shared" si="17"/>
        <v>793694</v>
      </c>
      <c r="V19" s="325">
        <v>0</v>
      </c>
      <c r="W19" s="325">
        <v>0</v>
      </c>
      <c r="X19" s="325">
        <v>0</v>
      </c>
      <c r="Y19" s="492">
        <f t="shared" si="18"/>
        <v>0</v>
      </c>
      <c r="Z19" s="492">
        <f t="shared" si="19"/>
        <v>793694</v>
      </c>
      <c r="AA19" s="494">
        <f t="shared" si="20"/>
        <v>268269</v>
      </c>
      <c r="AB19" s="494">
        <f t="shared" si="21"/>
        <v>7937</v>
      </c>
      <c r="AC19" s="492">
        <v>0</v>
      </c>
      <c r="AD19" s="492">
        <f t="shared" si="22"/>
        <v>1069900</v>
      </c>
      <c r="AE19" s="326">
        <v>0</v>
      </c>
      <c r="AF19" s="326">
        <v>2</v>
      </c>
      <c r="AG19" s="326">
        <v>0</v>
      </c>
      <c r="AH19" s="326">
        <v>0</v>
      </c>
      <c r="AI19" s="326">
        <v>0</v>
      </c>
      <c r="AJ19" s="326">
        <v>0</v>
      </c>
      <c r="AK19" s="491">
        <f t="shared" si="23"/>
        <v>2</v>
      </c>
      <c r="AL19" s="492">
        <f>I19+AD19</f>
        <v>1069900</v>
      </c>
      <c r="AM19" s="492">
        <f>J19+U19</f>
        <v>793694</v>
      </c>
      <c r="AN19" s="492">
        <f t="shared" si="24"/>
        <v>0</v>
      </c>
      <c r="AO19" s="492">
        <f>K19+AA19</f>
        <v>268269</v>
      </c>
      <c r="AP19" s="492">
        <f>L19+AB19</f>
        <v>7937</v>
      </c>
      <c r="AQ19" s="492">
        <f t="shared" si="25"/>
        <v>0</v>
      </c>
      <c r="AR19" s="491">
        <f t="shared" si="26"/>
        <v>2</v>
      </c>
    </row>
    <row r="20" spans="1:44" ht="13.5" customHeight="1" x14ac:dyDescent="0.2">
      <c r="A20" s="107">
        <v>3</v>
      </c>
      <c r="B20" s="15">
        <v>3451</v>
      </c>
      <c r="C20" s="15">
        <v>600078621</v>
      </c>
      <c r="D20" s="15">
        <v>70694991</v>
      </c>
      <c r="E20" s="116" t="s">
        <v>118</v>
      </c>
      <c r="F20" s="15"/>
      <c r="G20" s="106"/>
      <c r="H20" s="560"/>
      <c r="I20" s="794">
        <f t="shared" ref="I20:AR20" si="27">SUM(I18:I19)</f>
        <v>4918686</v>
      </c>
      <c r="J20" s="343">
        <f t="shared" si="27"/>
        <v>3648877</v>
      </c>
      <c r="K20" s="343">
        <f t="shared" si="27"/>
        <v>1233320</v>
      </c>
      <c r="L20" s="343">
        <f t="shared" si="27"/>
        <v>36489</v>
      </c>
      <c r="M20" s="343">
        <f t="shared" si="27"/>
        <v>0</v>
      </c>
      <c r="N20" s="35">
        <f t="shared" si="27"/>
        <v>6</v>
      </c>
      <c r="O20" s="346">
        <f t="shared" si="27"/>
        <v>0</v>
      </c>
      <c r="P20" s="343">
        <f t="shared" si="27"/>
        <v>793694</v>
      </c>
      <c r="Q20" s="343">
        <f t="shared" si="27"/>
        <v>0</v>
      </c>
      <c r="R20" s="343">
        <f t="shared" si="27"/>
        <v>0</v>
      </c>
      <c r="S20" s="343">
        <f t="shared" si="27"/>
        <v>0</v>
      </c>
      <c r="T20" s="343">
        <f t="shared" si="27"/>
        <v>0</v>
      </c>
      <c r="U20" s="343">
        <f t="shared" si="27"/>
        <v>793694</v>
      </c>
      <c r="V20" s="343">
        <f t="shared" si="27"/>
        <v>0</v>
      </c>
      <c r="W20" s="343">
        <f t="shared" si="27"/>
        <v>0</v>
      </c>
      <c r="X20" s="343">
        <f t="shared" si="27"/>
        <v>0</v>
      </c>
      <c r="Y20" s="343">
        <f t="shared" si="27"/>
        <v>0</v>
      </c>
      <c r="Z20" s="343">
        <f t="shared" si="27"/>
        <v>793694</v>
      </c>
      <c r="AA20" s="343">
        <f t="shared" si="27"/>
        <v>268269</v>
      </c>
      <c r="AB20" s="343">
        <f t="shared" si="27"/>
        <v>7937</v>
      </c>
      <c r="AC20" s="343">
        <f t="shared" si="27"/>
        <v>0</v>
      </c>
      <c r="AD20" s="343">
        <f t="shared" si="27"/>
        <v>1069900</v>
      </c>
      <c r="AE20" s="344">
        <f t="shared" si="27"/>
        <v>0</v>
      </c>
      <c r="AF20" s="344">
        <f t="shared" si="27"/>
        <v>2</v>
      </c>
      <c r="AG20" s="344">
        <f t="shared" si="27"/>
        <v>0</v>
      </c>
      <c r="AH20" s="344">
        <f t="shared" si="27"/>
        <v>0</v>
      </c>
      <c r="AI20" s="344">
        <f t="shared" si="27"/>
        <v>0</v>
      </c>
      <c r="AJ20" s="344">
        <f t="shared" si="27"/>
        <v>0</v>
      </c>
      <c r="AK20" s="35">
        <f t="shared" si="27"/>
        <v>2</v>
      </c>
      <c r="AL20" s="346">
        <f t="shared" si="27"/>
        <v>5988586</v>
      </c>
      <c r="AM20" s="343">
        <f t="shared" si="27"/>
        <v>4442571</v>
      </c>
      <c r="AN20" s="343">
        <f t="shared" si="27"/>
        <v>0</v>
      </c>
      <c r="AO20" s="343">
        <f t="shared" si="27"/>
        <v>1501589</v>
      </c>
      <c r="AP20" s="343">
        <f t="shared" si="27"/>
        <v>44426</v>
      </c>
      <c r="AQ20" s="343">
        <f t="shared" si="27"/>
        <v>0</v>
      </c>
      <c r="AR20" s="344">
        <f t="shared" si="27"/>
        <v>8</v>
      </c>
    </row>
    <row r="21" spans="1:44" ht="13.5" customHeight="1" x14ac:dyDescent="0.2">
      <c r="A21" s="136">
        <v>4</v>
      </c>
      <c r="B21" s="137">
        <v>3456</v>
      </c>
      <c r="C21" s="137">
        <v>600029051</v>
      </c>
      <c r="D21" s="137">
        <v>75125439</v>
      </c>
      <c r="E21" s="135" t="s">
        <v>119</v>
      </c>
      <c r="F21" s="137">
        <v>3233</v>
      </c>
      <c r="G21" s="138" t="s">
        <v>283</v>
      </c>
      <c r="H21" s="563" t="s">
        <v>263</v>
      </c>
      <c r="I21" s="586">
        <f>SUM(J21:L21)</f>
        <v>2380972</v>
      </c>
      <c r="J21" s="490">
        <v>1766300</v>
      </c>
      <c r="K21" s="55">
        <f>ROUND(J21*33.8%,0)</f>
        <v>597009</v>
      </c>
      <c r="L21" s="55">
        <f>ROUND(J21*1%,0)</f>
        <v>17663</v>
      </c>
      <c r="M21" s="55">
        <v>0</v>
      </c>
      <c r="N21" s="631">
        <v>2.99</v>
      </c>
      <c r="O21" s="445">
        <f>V21*-1</f>
        <v>-108000</v>
      </c>
      <c r="P21" s="325">
        <v>0</v>
      </c>
      <c r="Q21" s="325">
        <v>0</v>
      </c>
      <c r="R21" s="325">
        <v>0</v>
      </c>
      <c r="S21" s="325">
        <v>0</v>
      </c>
      <c r="T21" s="325">
        <v>0</v>
      </c>
      <c r="U21" s="492">
        <f>O21+P21+Q21+R21+S21+T21</f>
        <v>-108000</v>
      </c>
      <c r="V21" s="325">
        <v>108000</v>
      </c>
      <c r="W21" s="325">
        <v>0</v>
      </c>
      <c r="X21" s="325">
        <v>0</v>
      </c>
      <c r="Y21" s="492">
        <f>V21+W21+X21</f>
        <v>108000</v>
      </c>
      <c r="Z21" s="492">
        <f>U21+Y21</f>
        <v>0</v>
      </c>
      <c r="AA21" s="494">
        <f>ROUND((U21+Y21)*33.8%,0)</f>
        <v>0</v>
      </c>
      <c r="AB21" s="494">
        <f>ROUND(U21*1%,0)</f>
        <v>-1080</v>
      </c>
      <c r="AC21" s="492">
        <v>0</v>
      </c>
      <c r="AD21" s="492">
        <f>Z21+AA21+AB21+AC21</f>
        <v>-1080</v>
      </c>
      <c r="AE21" s="326">
        <v>-0.22</v>
      </c>
      <c r="AF21" s="326">
        <v>0</v>
      </c>
      <c r="AG21" s="326">
        <v>0</v>
      </c>
      <c r="AH21" s="326">
        <v>0</v>
      </c>
      <c r="AI21" s="326">
        <v>0</v>
      </c>
      <c r="AJ21" s="326">
        <v>0</v>
      </c>
      <c r="AK21" s="491">
        <f>SUM(AE21:AJ21)</f>
        <v>-0.22</v>
      </c>
      <c r="AL21" s="492">
        <f>I21+AD21</f>
        <v>2379892</v>
      </c>
      <c r="AM21" s="492">
        <f>J21+U21</f>
        <v>1658300</v>
      </c>
      <c r="AN21" s="492">
        <f>Y21</f>
        <v>108000</v>
      </c>
      <c r="AO21" s="492">
        <f>K21+AA21</f>
        <v>597009</v>
      </c>
      <c r="AP21" s="492">
        <f>L21+AB21</f>
        <v>16583</v>
      </c>
      <c r="AQ21" s="492">
        <f>M21+AC21</f>
        <v>0</v>
      </c>
      <c r="AR21" s="491">
        <f>N21+AK21</f>
        <v>2.77</v>
      </c>
    </row>
    <row r="22" spans="1:44" ht="13.5" customHeight="1" x14ac:dyDescent="0.2">
      <c r="A22" s="107">
        <v>4</v>
      </c>
      <c r="B22" s="15">
        <v>3456</v>
      </c>
      <c r="C22" s="15">
        <v>600029051</v>
      </c>
      <c r="D22" s="15">
        <v>75125439</v>
      </c>
      <c r="E22" s="116" t="s">
        <v>120</v>
      </c>
      <c r="F22" s="15"/>
      <c r="G22" s="106"/>
      <c r="H22" s="560"/>
      <c r="I22" s="794">
        <f t="shared" ref="I22:AR22" si="28">SUM(I21)</f>
        <v>2380972</v>
      </c>
      <c r="J22" s="343">
        <f t="shared" si="28"/>
        <v>1766300</v>
      </c>
      <c r="K22" s="343">
        <f t="shared" si="28"/>
        <v>597009</v>
      </c>
      <c r="L22" s="343">
        <f t="shared" si="28"/>
        <v>17663</v>
      </c>
      <c r="M22" s="343">
        <f t="shared" si="28"/>
        <v>0</v>
      </c>
      <c r="N22" s="35">
        <f t="shared" si="28"/>
        <v>2.99</v>
      </c>
      <c r="O22" s="346">
        <f t="shared" si="28"/>
        <v>-108000</v>
      </c>
      <c r="P22" s="343">
        <f t="shared" si="28"/>
        <v>0</v>
      </c>
      <c r="Q22" s="343">
        <f t="shared" si="28"/>
        <v>0</v>
      </c>
      <c r="R22" s="343">
        <f t="shared" si="28"/>
        <v>0</v>
      </c>
      <c r="S22" s="343">
        <f t="shared" si="28"/>
        <v>0</v>
      </c>
      <c r="T22" s="343">
        <f t="shared" si="28"/>
        <v>0</v>
      </c>
      <c r="U22" s="343">
        <f t="shared" si="28"/>
        <v>-108000</v>
      </c>
      <c r="V22" s="343">
        <f t="shared" si="28"/>
        <v>108000</v>
      </c>
      <c r="W22" s="343">
        <f t="shared" si="28"/>
        <v>0</v>
      </c>
      <c r="X22" s="343">
        <f t="shared" si="28"/>
        <v>0</v>
      </c>
      <c r="Y22" s="343">
        <f t="shared" si="28"/>
        <v>108000</v>
      </c>
      <c r="Z22" s="343">
        <f t="shared" si="28"/>
        <v>0</v>
      </c>
      <c r="AA22" s="343">
        <f t="shared" si="28"/>
        <v>0</v>
      </c>
      <c r="AB22" s="343">
        <f t="shared" si="28"/>
        <v>-1080</v>
      </c>
      <c r="AC22" s="343">
        <f t="shared" si="28"/>
        <v>0</v>
      </c>
      <c r="AD22" s="343">
        <f t="shared" si="28"/>
        <v>-1080</v>
      </c>
      <c r="AE22" s="344">
        <f t="shared" si="28"/>
        <v>-0.22</v>
      </c>
      <c r="AF22" s="344">
        <f t="shared" si="28"/>
        <v>0</v>
      </c>
      <c r="AG22" s="344">
        <f t="shared" si="28"/>
        <v>0</v>
      </c>
      <c r="AH22" s="344">
        <f t="shared" si="28"/>
        <v>0</v>
      </c>
      <c r="AI22" s="344">
        <f t="shared" si="28"/>
        <v>0</v>
      </c>
      <c r="AJ22" s="344">
        <f t="shared" si="28"/>
        <v>0</v>
      </c>
      <c r="AK22" s="35">
        <f t="shared" si="28"/>
        <v>-0.22</v>
      </c>
      <c r="AL22" s="346">
        <f t="shared" si="28"/>
        <v>2379892</v>
      </c>
      <c r="AM22" s="343">
        <f t="shared" si="28"/>
        <v>1658300</v>
      </c>
      <c r="AN22" s="343">
        <f t="shared" si="28"/>
        <v>108000</v>
      </c>
      <c r="AO22" s="343">
        <f t="shared" si="28"/>
        <v>597009</v>
      </c>
      <c r="AP22" s="343">
        <f t="shared" si="28"/>
        <v>16583</v>
      </c>
      <c r="AQ22" s="343">
        <f t="shared" si="28"/>
        <v>0</v>
      </c>
      <c r="AR22" s="344">
        <f t="shared" si="28"/>
        <v>2.77</v>
      </c>
    </row>
    <row r="23" spans="1:44" ht="13.5" customHeight="1" x14ac:dyDescent="0.2">
      <c r="A23" s="136">
        <v>5</v>
      </c>
      <c r="B23" s="137">
        <v>3447</v>
      </c>
      <c r="C23" s="137">
        <v>600078531</v>
      </c>
      <c r="D23" s="137">
        <v>70694982</v>
      </c>
      <c r="E23" s="135" t="s">
        <v>121</v>
      </c>
      <c r="F23" s="137">
        <v>3113</v>
      </c>
      <c r="G23" s="138" t="s">
        <v>280</v>
      </c>
      <c r="H23" s="563" t="s">
        <v>262</v>
      </c>
      <c r="I23" s="586">
        <f>SUM(J23:L23)</f>
        <v>18455403</v>
      </c>
      <c r="J23" s="490">
        <v>13690952</v>
      </c>
      <c r="K23" s="55">
        <f t="shared" ref="K23:K26" si="29">ROUND(J23*33.8%,0)</f>
        <v>4627542</v>
      </c>
      <c r="L23" s="55">
        <f>ROUND(J23*1%,0)-1</f>
        <v>136909</v>
      </c>
      <c r="M23" s="55">
        <v>0</v>
      </c>
      <c r="N23" s="631">
        <v>18.329999999999998</v>
      </c>
      <c r="O23" s="445">
        <f>V23*-1</f>
        <v>0</v>
      </c>
      <c r="P23" s="325">
        <v>0</v>
      </c>
      <c r="Q23" s="325">
        <v>0</v>
      </c>
      <c r="R23" s="325">
        <v>0</v>
      </c>
      <c r="S23" s="325">
        <v>0</v>
      </c>
      <c r="T23" s="325">
        <v>0</v>
      </c>
      <c r="U23" s="492">
        <f t="shared" ref="U23:U26" si="30">O23+P23+Q23+R23+S23+T23</f>
        <v>0</v>
      </c>
      <c r="V23" s="325">
        <v>0</v>
      </c>
      <c r="W23" s="325">
        <v>0</v>
      </c>
      <c r="X23" s="325">
        <v>0</v>
      </c>
      <c r="Y23" s="492">
        <f t="shared" ref="Y23:Y26" si="31">V23+W23+X23</f>
        <v>0</v>
      </c>
      <c r="Z23" s="492">
        <f t="shared" ref="Z23:Z26" si="32">U23+Y23</f>
        <v>0</v>
      </c>
      <c r="AA23" s="494">
        <f t="shared" ref="AA23:AA26" si="33">ROUND((U23+Y23)*33.8%,0)</f>
        <v>0</v>
      </c>
      <c r="AB23" s="494">
        <f t="shared" ref="AB23:AB26" si="34">ROUND(U23*1%,0)</f>
        <v>0</v>
      </c>
      <c r="AC23" s="492">
        <v>0</v>
      </c>
      <c r="AD23" s="492">
        <f t="shared" ref="AD23:AD26" si="35">Z23+AA23+AB23+AC23</f>
        <v>0</v>
      </c>
      <c r="AE23" s="326">
        <v>0</v>
      </c>
      <c r="AF23" s="326">
        <v>0</v>
      </c>
      <c r="AG23" s="326">
        <v>0</v>
      </c>
      <c r="AH23" s="326">
        <v>0</v>
      </c>
      <c r="AI23" s="326">
        <v>0</v>
      </c>
      <c r="AJ23" s="326">
        <v>0</v>
      </c>
      <c r="AK23" s="491">
        <f t="shared" ref="AK23:AK26" si="36">SUM(AE23:AJ23)</f>
        <v>0</v>
      </c>
      <c r="AL23" s="492">
        <f>I23+AD23</f>
        <v>18455403</v>
      </c>
      <c r="AM23" s="492">
        <f>J23+U23</f>
        <v>13690952</v>
      </c>
      <c r="AN23" s="492">
        <f t="shared" ref="AN23:AN26" si="37">Y23</f>
        <v>0</v>
      </c>
      <c r="AO23" s="492">
        <f t="shared" ref="AO23:AQ26" si="38">K23+AA23</f>
        <v>4627542</v>
      </c>
      <c r="AP23" s="492">
        <f t="shared" si="38"/>
        <v>136909</v>
      </c>
      <c r="AQ23" s="492">
        <f t="shared" si="38"/>
        <v>0</v>
      </c>
      <c r="AR23" s="491">
        <f t="shared" ref="AR23:AR26" si="39">N23+AK23</f>
        <v>18.329999999999998</v>
      </c>
    </row>
    <row r="24" spans="1:44" ht="13.5" customHeight="1" x14ac:dyDescent="0.2">
      <c r="A24" s="136">
        <v>5</v>
      </c>
      <c r="B24" s="137">
        <v>3447</v>
      </c>
      <c r="C24" s="137">
        <v>600078531</v>
      </c>
      <c r="D24" s="137">
        <v>70694982</v>
      </c>
      <c r="E24" s="135" t="s">
        <v>121</v>
      </c>
      <c r="F24" s="137">
        <v>3113</v>
      </c>
      <c r="G24" s="138" t="s">
        <v>279</v>
      </c>
      <c r="H24" s="563" t="s">
        <v>262</v>
      </c>
      <c r="I24" s="586">
        <f>SUM(J24:L24)</f>
        <v>850564</v>
      </c>
      <c r="J24" s="490">
        <v>630982</v>
      </c>
      <c r="K24" s="55">
        <f t="shared" si="29"/>
        <v>213272</v>
      </c>
      <c r="L24" s="55">
        <f t="shared" ref="L24:L26" si="40">ROUND(J24*1%,0)</f>
        <v>6310</v>
      </c>
      <c r="M24" s="55">
        <v>0</v>
      </c>
      <c r="N24" s="631">
        <v>1.39</v>
      </c>
      <c r="O24" s="440">
        <f>V24*-1</f>
        <v>0</v>
      </c>
      <c r="P24" s="325">
        <v>0</v>
      </c>
      <c r="Q24" s="325">
        <v>0</v>
      </c>
      <c r="R24" s="325">
        <v>0</v>
      </c>
      <c r="S24" s="325">
        <v>0</v>
      </c>
      <c r="T24" s="325">
        <v>0</v>
      </c>
      <c r="U24" s="492">
        <f t="shared" si="30"/>
        <v>0</v>
      </c>
      <c r="V24" s="325">
        <v>0</v>
      </c>
      <c r="W24" s="325">
        <v>0</v>
      </c>
      <c r="X24" s="325">
        <v>0</v>
      </c>
      <c r="Y24" s="492">
        <f t="shared" si="31"/>
        <v>0</v>
      </c>
      <c r="Z24" s="492">
        <f t="shared" si="32"/>
        <v>0</v>
      </c>
      <c r="AA24" s="494">
        <f t="shared" si="33"/>
        <v>0</v>
      </c>
      <c r="AB24" s="494">
        <f t="shared" si="34"/>
        <v>0</v>
      </c>
      <c r="AC24" s="492">
        <v>0</v>
      </c>
      <c r="AD24" s="492">
        <f t="shared" si="35"/>
        <v>0</v>
      </c>
      <c r="AE24" s="326">
        <v>0</v>
      </c>
      <c r="AF24" s="326">
        <v>0</v>
      </c>
      <c r="AG24" s="326">
        <v>0</v>
      </c>
      <c r="AH24" s="326">
        <v>0</v>
      </c>
      <c r="AI24" s="326">
        <v>0</v>
      </c>
      <c r="AJ24" s="326">
        <v>0</v>
      </c>
      <c r="AK24" s="491">
        <f t="shared" si="36"/>
        <v>0</v>
      </c>
      <c r="AL24" s="492">
        <f>I24+AD24</f>
        <v>850564</v>
      </c>
      <c r="AM24" s="492">
        <f>J24+U24</f>
        <v>630982</v>
      </c>
      <c r="AN24" s="492">
        <f t="shared" si="37"/>
        <v>0</v>
      </c>
      <c r="AO24" s="492">
        <f t="shared" si="38"/>
        <v>213272</v>
      </c>
      <c r="AP24" s="492">
        <f t="shared" si="38"/>
        <v>6310</v>
      </c>
      <c r="AQ24" s="492">
        <f t="shared" si="38"/>
        <v>0</v>
      </c>
      <c r="AR24" s="491">
        <f t="shared" si="39"/>
        <v>1.39</v>
      </c>
    </row>
    <row r="25" spans="1:44" ht="13.5" customHeight="1" x14ac:dyDescent="0.2">
      <c r="A25" s="136">
        <v>5</v>
      </c>
      <c r="B25" s="137">
        <v>3447</v>
      </c>
      <c r="C25" s="137">
        <v>600078531</v>
      </c>
      <c r="D25" s="137">
        <v>70694982</v>
      </c>
      <c r="E25" s="135" t="s">
        <v>121</v>
      </c>
      <c r="F25" s="137">
        <v>3113</v>
      </c>
      <c r="G25" s="138" t="s">
        <v>284</v>
      </c>
      <c r="H25" s="563" t="s">
        <v>263</v>
      </c>
      <c r="I25" s="586">
        <f>SUM(J25:L25)</f>
        <v>0</v>
      </c>
      <c r="J25" s="490"/>
      <c r="K25" s="55">
        <f t="shared" si="29"/>
        <v>0</v>
      </c>
      <c r="L25" s="55">
        <f t="shared" si="40"/>
        <v>0</v>
      </c>
      <c r="M25" s="55">
        <v>0</v>
      </c>
      <c r="N25" s="631">
        <v>0</v>
      </c>
      <c r="O25" s="440">
        <f>V25*-1</f>
        <v>0</v>
      </c>
      <c r="P25" s="325">
        <f>1934085-125829</f>
        <v>1808256</v>
      </c>
      <c r="Q25" s="325">
        <v>0</v>
      </c>
      <c r="R25" s="325">
        <v>0</v>
      </c>
      <c r="S25" s="325">
        <v>0</v>
      </c>
      <c r="T25" s="325">
        <v>0</v>
      </c>
      <c r="U25" s="492">
        <f t="shared" si="30"/>
        <v>1808256</v>
      </c>
      <c r="V25" s="325">
        <v>0</v>
      </c>
      <c r="W25" s="325">
        <v>0</v>
      </c>
      <c r="X25" s="325">
        <v>0</v>
      </c>
      <c r="Y25" s="492">
        <f t="shared" si="31"/>
        <v>0</v>
      </c>
      <c r="Z25" s="492">
        <f t="shared" si="32"/>
        <v>1808256</v>
      </c>
      <c r="AA25" s="494">
        <f t="shared" si="33"/>
        <v>611191</v>
      </c>
      <c r="AB25" s="494">
        <f t="shared" si="34"/>
        <v>18083</v>
      </c>
      <c r="AC25" s="492">
        <v>0</v>
      </c>
      <c r="AD25" s="492">
        <f t="shared" si="35"/>
        <v>2437530</v>
      </c>
      <c r="AE25" s="326">
        <v>0</v>
      </c>
      <c r="AF25" s="326">
        <f>4.61-0.24</f>
        <v>4.37</v>
      </c>
      <c r="AG25" s="326">
        <v>0</v>
      </c>
      <c r="AH25" s="326">
        <v>0</v>
      </c>
      <c r="AI25" s="326">
        <v>0</v>
      </c>
      <c r="AJ25" s="326">
        <v>0</v>
      </c>
      <c r="AK25" s="491">
        <f t="shared" si="36"/>
        <v>4.37</v>
      </c>
      <c r="AL25" s="492">
        <f>I25+AD25</f>
        <v>2437530</v>
      </c>
      <c r="AM25" s="492">
        <f>J25+U25</f>
        <v>1808256</v>
      </c>
      <c r="AN25" s="492">
        <f t="shared" si="37"/>
        <v>0</v>
      </c>
      <c r="AO25" s="492">
        <f t="shared" si="38"/>
        <v>611191</v>
      </c>
      <c r="AP25" s="492">
        <f t="shared" si="38"/>
        <v>18083</v>
      </c>
      <c r="AQ25" s="492">
        <f t="shared" si="38"/>
        <v>0</v>
      </c>
      <c r="AR25" s="491">
        <f t="shared" si="39"/>
        <v>4.37</v>
      </c>
    </row>
    <row r="26" spans="1:44" ht="13.5" customHeight="1" x14ac:dyDescent="0.2">
      <c r="A26" s="136">
        <v>5</v>
      </c>
      <c r="B26" s="137">
        <v>3447</v>
      </c>
      <c r="C26" s="137">
        <v>600078531</v>
      </c>
      <c r="D26" s="137">
        <v>70694982</v>
      </c>
      <c r="E26" s="135" t="s">
        <v>121</v>
      </c>
      <c r="F26" s="137">
        <v>3143</v>
      </c>
      <c r="G26" s="138" t="s">
        <v>794</v>
      </c>
      <c r="H26" s="157" t="s">
        <v>262</v>
      </c>
      <c r="I26" s="586">
        <f>SUM(J26:L26)</f>
        <v>2056583</v>
      </c>
      <c r="J26" s="490">
        <v>1525655</v>
      </c>
      <c r="K26" s="55">
        <f t="shared" si="29"/>
        <v>515671</v>
      </c>
      <c r="L26" s="55">
        <f t="shared" si="40"/>
        <v>15257</v>
      </c>
      <c r="M26" s="55">
        <v>0</v>
      </c>
      <c r="N26" s="631">
        <v>2.96</v>
      </c>
      <c r="O26" s="440">
        <f>V26*-1</f>
        <v>-9000</v>
      </c>
      <c r="P26" s="325">
        <v>0</v>
      </c>
      <c r="Q26" s="325">
        <v>0</v>
      </c>
      <c r="R26" s="325">
        <v>0</v>
      </c>
      <c r="S26" s="325">
        <v>0</v>
      </c>
      <c r="T26" s="325">
        <v>0</v>
      </c>
      <c r="U26" s="492">
        <f t="shared" si="30"/>
        <v>-9000</v>
      </c>
      <c r="V26" s="325">
        <v>9000</v>
      </c>
      <c r="W26" s="325">
        <v>0</v>
      </c>
      <c r="X26" s="325">
        <v>0</v>
      </c>
      <c r="Y26" s="492">
        <f t="shared" si="31"/>
        <v>9000</v>
      </c>
      <c r="Z26" s="492">
        <f t="shared" si="32"/>
        <v>0</v>
      </c>
      <c r="AA26" s="494">
        <f t="shared" si="33"/>
        <v>0</v>
      </c>
      <c r="AB26" s="494">
        <f t="shared" si="34"/>
        <v>-90</v>
      </c>
      <c r="AC26" s="492">
        <v>0</v>
      </c>
      <c r="AD26" s="492">
        <f t="shared" si="35"/>
        <v>-90</v>
      </c>
      <c r="AE26" s="326">
        <v>0</v>
      </c>
      <c r="AF26" s="326">
        <v>0</v>
      </c>
      <c r="AG26" s="326">
        <v>0</v>
      </c>
      <c r="AH26" s="326">
        <v>0</v>
      </c>
      <c r="AI26" s="326">
        <v>0</v>
      </c>
      <c r="AJ26" s="326">
        <v>0</v>
      </c>
      <c r="AK26" s="491">
        <f t="shared" si="36"/>
        <v>0</v>
      </c>
      <c r="AL26" s="492">
        <f>I26+AD26</f>
        <v>2056493</v>
      </c>
      <c r="AM26" s="492">
        <f>J26+U26</f>
        <v>1516655</v>
      </c>
      <c r="AN26" s="492">
        <f t="shared" si="37"/>
        <v>9000</v>
      </c>
      <c r="AO26" s="492">
        <f t="shared" si="38"/>
        <v>515671</v>
      </c>
      <c r="AP26" s="492">
        <f t="shared" si="38"/>
        <v>15167</v>
      </c>
      <c r="AQ26" s="492">
        <f t="shared" si="38"/>
        <v>0</v>
      </c>
      <c r="AR26" s="491">
        <f t="shared" si="39"/>
        <v>2.96</v>
      </c>
    </row>
    <row r="27" spans="1:44" ht="13.5" customHeight="1" x14ac:dyDescent="0.2">
      <c r="A27" s="107">
        <v>5</v>
      </c>
      <c r="B27" s="15">
        <v>3447</v>
      </c>
      <c r="C27" s="15">
        <v>600078531</v>
      </c>
      <c r="D27" s="15">
        <v>70694982</v>
      </c>
      <c r="E27" s="116" t="s">
        <v>122</v>
      </c>
      <c r="F27" s="15"/>
      <c r="G27" s="106"/>
      <c r="H27" s="560"/>
      <c r="I27" s="794">
        <f t="shared" ref="I27:AR27" si="41">SUM(I23:I26)</f>
        <v>21362550</v>
      </c>
      <c r="J27" s="343">
        <f t="shared" si="41"/>
        <v>15847589</v>
      </c>
      <c r="K27" s="343">
        <f t="shared" si="41"/>
        <v>5356485</v>
      </c>
      <c r="L27" s="343">
        <f t="shared" si="41"/>
        <v>158476</v>
      </c>
      <c r="M27" s="343">
        <f t="shared" si="41"/>
        <v>0</v>
      </c>
      <c r="N27" s="35">
        <f t="shared" si="41"/>
        <v>22.68</v>
      </c>
      <c r="O27" s="346">
        <f t="shared" si="41"/>
        <v>-9000</v>
      </c>
      <c r="P27" s="343">
        <f t="shared" si="41"/>
        <v>1808256</v>
      </c>
      <c r="Q27" s="343">
        <f t="shared" si="41"/>
        <v>0</v>
      </c>
      <c r="R27" s="343">
        <f t="shared" si="41"/>
        <v>0</v>
      </c>
      <c r="S27" s="343">
        <f t="shared" si="41"/>
        <v>0</v>
      </c>
      <c r="T27" s="343">
        <f t="shared" si="41"/>
        <v>0</v>
      </c>
      <c r="U27" s="343">
        <f t="shared" si="41"/>
        <v>1799256</v>
      </c>
      <c r="V27" s="343">
        <f t="shared" si="41"/>
        <v>9000</v>
      </c>
      <c r="W27" s="343">
        <f t="shared" si="41"/>
        <v>0</v>
      </c>
      <c r="X27" s="343">
        <f t="shared" si="41"/>
        <v>0</v>
      </c>
      <c r="Y27" s="343">
        <f t="shared" si="41"/>
        <v>9000</v>
      </c>
      <c r="Z27" s="343">
        <f t="shared" si="41"/>
        <v>1808256</v>
      </c>
      <c r="AA27" s="343">
        <f t="shared" si="41"/>
        <v>611191</v>
      </c>
      <c r="AB27" s="343">
        <f t="shared" si="41"/>
        <v>17993</v>
      </c>
      <c r="AC27" s="343">
        <f t="shared" si="41"/>
        <v>0</v>
      </c>
      <c r="AD27" s="343">
        <f t="shared" si="41"/>
        <v>2437440</v>
      </c>
      <c r="AE27" s="344">
        <f t="shared" si="41"/>
        <v>0</v>
      </c>
      <c r="AF27" s="344">
        <f t="shared" si="41"/>
        <v>4.37</v>
      </c>
      <c r="AG27" s="344">
        <f t="shared" si="41"/>
        <v>0</v>
      </c>
      <c r="AH27" s="344">
        <f t="shared" si="41"/>
        <v>0</v>
      </c>
      <c r="AI27" s="344">
        <f t="shared" si="41"/>
        <v>0</v>
      </c>
      <c r="AJ27" s="344">
        <f t="shared" si="41"/>
        <v>0</v>
      </c>
      <c r="AK27" s="35">
        <f t="shared" si="41"/>
        <v>4.37</v>
      </c>
      <c r="AL27" s="346">
        <f t="shared" si="41"/>
        <v>23799990</v>
      </c>
      <c r="AM27" s="343">
        <f t="shared" si="41"/>
        <v>17646845</v>
      </c>
      <c r="AN27" s="343">
        <f t="shared" si="41"/>
        <v>9000</v>
      </c>
      <c r="AO27" s="343">
        <f t="shared" si="41"/>
        <v>5967676</v>
      </c>
      <c r="AP27" s="343">
        <f t="shared" si="41"/>
        <v>176469</v>
      </c>
      <c r="AQ27" s="343">
        <f t="shared" si="41"/>
        <v>0</v>
      </c>
      <c r="AR27" s="344">
        <f t="shared" si="41"/>
        <v>27.05</v>
      </c>
    </row>
    <row r="28" spans="1:44" ht="13.5" customHeight="1" x14ac:dyDescent="0.2">
      <c r="A28" s="136">
        <v>6</v>
      </c>
      <c r="B28" s="137">
        <v>3446</v>
      </c>
      <c r="C28" s="137">
        <v>600078515</v>
      </c>
      <c r="D28" s="137">
        <v>70694974</v>
      </c>
      <c r="E28" s="135" t="s">
        <v>123</v>
      </c>
      <c r="F28" s="137">
        <v>3113</v>
      </c>
      <c r="G28" s="138" t="s">
        <v>280</v>
      </c>
      <c r="H28" s="563" t="s">
        <v>262</v>
      </c>
      <c r="I28" s="586">
        <f>SUM(J28:L28)</f>
        <v>23976692</v>
      </c>
      <c r="J28" s="490">
        <v>17786863</v>
      </c>
      <c r="K28" s="55">
        <f t="shared" ref="K28:K31" si="42">ROUND(J28*33.8%,0)</f>
        <v>6011960</v>
      </c>
      <c r="L28" s="55">
        <f t="shared" ref="L28:L31" si="43">ROUND(J28*1%,0)</f>
        <v>177869</v>
      </c>
      <c r="M28" s="55">
        <v>0</v>
      </c>
      <c r="N28" s="631">
        <v>25.14</v>
      </c>
      <c r="O28" s="445">
        <f>V28*-1</f>
        <v>-3000</v>
      </c>
      <c r="P28" s="325">
        <v>0</v>
      </c>
      <c r="Q28" s="325">
        <v>0</v>
      </c>
      <c r="R28" s="325">
        <v>0</v>
      </c>
      <c r="S28" s="325">
        <v>0</v>
      </c>
      <c r="T28" s="325">
        <v>0</v>
      </c>
      <c r="U28" s="492">
        <f t="shared" ref="U28:U31" si="44">O28+P28+Q28+R28+S28+T28</f>
        <v>-3000</v>
      </c>
      <c r="V28" s="325">
        <v>3000</v>
      </c>
      <c r="W28" s="325">
        <v>0</v>
      </c>
      <c r="X28" s="325">
        <v>0</v>
      </c>
      <c r="Y28" s="492">
        <f t="shared" ref="Y28:Y31" si="45">V28+W28+X28</f>
        <v>3000</v>
      </c>
      <c r="Z28" s="492">
        <f t="shared" ref="Z28:Z31" si="46">U28+Y28</f>
        <v>0</v>
      </c>
      <c r="AA28" s="494">
        <f t="shared" ref="AA28:AA31" si="47">ROUND((U28+Y28)*33.8%,0)</f>
        <v>0</v>
      </c>
      <c r="AB28" s="494">
        <f t="shared" ref="AB28:AB31" si="48">ROUND(U28*1%,0)</f>
        <v>-30</v>
      </c>
      <c r="AC28" s="492">
        <v>0</v>
      </c>
      <c r="AD28" s="492">
        <f t="shared" ref="AD28:AD31" si="49">Z28+AA28+AB28+AC28</f>
        <v>-30</v>
      </c>
      <c r="AE28" s="326">
        <v>0</v>
      </c>
      <c r="AF28" s="326">
        <v>0</v>
      </c>
      <c r="AG28" s="326">
        <v>0</v>
      </c>
      <c r="AH28" s="326">
        <v>0</v>
      </c>
      <c r="AI28" s="326">
        <v>0</v>
      </c>
      <c r="AJ28" s="326">
        <v>0</v>
      </c>
      <c r="AK28" s="491">
        <f t="shared" ref="AK28:AK31" si="50">SUM(AE28:AJ28)</f>
        <v>0</v>
      </c>
      <c r="AL28" s="492">
        <f>I28+AD28</f>
        <v>23976662</v>
      </c>
      <c r="AM28" s="492">
        <f>J28+U28</f>
        <v>17783863</v>
      </c>
      <c r="AN28" s="492">
        <f t="shared" ref="AN28:AN31" si="51">Y28</f>
        <v>3000</v>
      </c>
      <c r="AO28" s="492">
        <f t="shared" ref="AO28:AQ31" si="52">K28+AA28</f>
        <v>6011960</v>
      </c>
      <c r="AP28" s="492">
        <f t="shared" si="52"/>
        <v>177839</v>
      </c>
      <c r="AQ28" s="492">
        <f t="shared" si="52"/>
        <v>0</v>
      </c>
      <c r="AR28" s="491">
        <f t="shared" ref="AR28:AR31" si="53">N28+AK28</f>
        <v>25.14</v>
      </c>
    </row>
    <row r="29" spans="1:44" ht="13.5" customHeight="1" x14ac:dyDescent="0.2">
      <c r="A29" s="136">
        <v>6</v>
      </c>
      <c r="B29" s="137">
        <v>3446</v>
      </c>
      <c r="C29" s="137">
        <v>600078515</v>
      </c>
      <c r="D29" s="137">
        <v>70694974</v>
      </c>
      <c r="E29" s="135" t="s">
        <v>123</v>
      </c>
      <c r="F29" s="137">
        <v>3113</v>
      </c>
      <c r="G29" s="138" t="s">
        <v>799</v>
      </c>
      <c r="H29" s="563" t="s">
        <v>262</v>
      </c>
      <c r="I29" s="586">
        <f>SUM(J29:L29)</f>
        <v>152213</v>
      </c>
      <c r="J29" s="490">
        <v>112918</v>
      </c>
      <c r="K29" s="55">
        <f t="shared" si="42"/>
        <v>38166</v>
      </c>
      <c r="L29" s="55">
        <f t="shared" si="43"/>
        <v>1129</v>
      </c>
      <c r="M29" s="55">
        <v>0</v>
      </c>
      <c r="N29" s="631">
        <v>0.2</v>
      </c>
      <c r="O29" s="445">
        <f>V29*-1</f>
        <v>0</v>
      </c>
      <c r="P29" s="325">
        <v>0</v>
      </c>
      <c r="Q29" s="325">
        <v>0</v>
      </c>
      <c r="R29" s="325">
        <v>0</v>
      </c>
      <c r="S29" s="325">
        <v>0</v>
      </c>
      <c r="T29" s="325">
        <v>0</v>
      </c>
      <c r="U29" s="492">
        <f t="shared" si="44"/>
        <v>0</v>
      </c>
      <c r="V29" s="325">
        <v>0</v>
      </c>
      <c r="W29" s="325">
        <v>0</v>
      </c>
      <c r="X29" s="325">
        <v>0</v>
      </c>
      <c r="Y29" s="492">
        <f t="shared" si="45"/>
        <v>0</v>
      </c>
      <c r="Z29" s="492">
        <f t="shared" si="46"/>
        <v>0</v>
      </c>
      <c r="AA29" s="494">
        <f t="shared" si="47"/>
        <v>0</v>
      </c>
      <c r="AB29" s="494">
        <f t="shared" si="48"/>
        <v>0</v>
      </c>
      <c r="AC29" s="492">
        <v>0</v>
      </c>
      <c r="AD29" s="492">
        <f t="shared" si="49"/>
        <v>0</v>
      </c>
      <c r="AE29" s="326">
        <v>0</v>
      </c>
      <c r="AF29" s="326">
        <v>0</v>
      </c>
      <c r="AG29" s="326">
        <v>0</v>
      </c>
      <c r="AH29" s="326">
        <v>0</v>
      </c>
      <c r="AI29" s="326">
        <v>0</v>
      </c>
      <c r="AJ29" s="326">
        <v>0</v>
      </c>
      <c r="AK29" s="491">
        <f t="shared" si="50"/>
        <v>0</v>
      </c>
      <c r="AL29" s="492">
        <f>I29+AD29</f>
        <v>152213</v>
      </c>
      <c r="AM29" s="492">
        <f>J29+U29</f>
        <v>112918</v>
      </c>
      <c r="AN29" s="492">
        <f t="shared" si="51"/>
        <v>0</v>
      </c>
      <c r="AO29" s="492">
        <f t="shared" si="52"/>
        <v>38166</v>
      </c>
      <c r="AP29" s="492">
        <f t="shared" si="52"/>
        <v>1129</v>
      </c>
      <c r="AQ29" s="492">
        <f t="shared" si="52"/>
        <v>0</v>
      </c>
      <c r="AR29" s="491">
        <f t="shared" si="53"/>
        <v>0.2</v>
      </c>
    </row>
    <row r="30" spans="1:44" ht="13.5" customHeight="1" x14ac:dyDescent="0.2">
      <c r="A30" s="136">
        <v>6</v>
      </c>
      <c r="B30" s="137">
        <v>3446</v>
      </c>
      <c r="C30" s="137">
        <v>600078515</v>
      </c>
      <c r="D30" s="137">
        <v>70694974</v>
      </c>
      <c r="E30" s="135" t="s">
        <v>123</v>
      </c>
      <c r="F30" s="137">
        <v>3113</v>
      </c>
      <c r="G30" s="138" t="s">
        <v>278</v>
      </c>
      <c r="H30" s="563" t="s">
        <v>263</v>
      </c>
      <c r="I30" s="586">
        <f>SUM(J30:L30)</f>
        <v>0</v>
      </c>
      <c r="J30" s="490"/>
      <c r="K30" s="55">
        <f t="shared" si="42"/>
        <v>0</v>
      </c>
      <c r="L30" s="55">
        <f t="shared" si="43"/>
        <v>0</v>
      </c>
      <c r="M30" s="55">
        <v>0</v>
      </c>
      <c r="N30" s="631">
        <v>0</v>
      </c>
      <c r="O30" s="440">
        <f>V30*-1</f>
        <v>0</v>
      </c>
      <c r="P30" s="325">
        <f>1272156+272833</f>
        <v>1544989</v>
      </c>
      <c r="Q30" s="325">
        <v>80620</v>
      </c>
      <c r="R30" s="325">
        <v>0</v>
      </c>
      <c r="S30" s="325">
        <v>0</v>
      </c>
      <c r="T30" s="325">
        <v>0</v>
      </c>
      <c r="U30" s="492">
        <f t="shared" si="44"/>
        <v>1625609</v>
      </c>
      <c r="V30" s="325">
        <v>0</v>
      </c>
      <c r="W30" s="325">
        <v>0</v>
      </c>
      <c r="X30" s="325">
        <v>0</v>
      </c>
      <c r="Y30" s="492">
        <f t="shared" si="45"/>
        <v>0</v>
      </c>
      <c r="Z30" s="492">
        <f t="shared" si="46"/>
        <v>1625609</v>
      </c>
      <c r="AA30" s="494">
        <f t="shared" si="47"/>
        <v>549456</v>
      </c>
      <c r="AB30" s="494">
        <f t="shared" si="48"/>
        <v>16256</v>
      </c>
      <c r="AC30" s="492">
        <v>0</v>
      </c>
      <c r="AD30" s="492">
        <f t="shared" si="49"/>
        <v>2191321</v>
      </c>
      <c r="AE30" s="326">
        <v>0</v>
      </c>
      <c r="AF30" s="326">
        <f>3.19+0.69</f>
        <v>3.88</v>
      </c>
      <c r="AG30" s="326">
        <v>0</v>
      </c>
      <c r="AH30" s="326">
        <v>0.11</v>
      </c>
      <c r="AI30" s="326">
        <v>0</v>
      </c>
      <c r="AJ30" s="326">
        <v>0</v>
      </c>
      <c r="AK30" s="491">
        <f t="shared" si="50"/>
        <v>3.9899999999999998</v>
      </c>
      <c r="AL30" s="492">
        <f>I30+AD30</f>
        <v>2191321</v>
      </c>
      <c r="AM30" s="492">
        <f>J30+U30</f>
        <v>1625609</v>
      </c>
      <c r="AN30" s="492">
        <f t="shared" si="51"/>
        <v>0</v>
      </c>
      <c r="AO30" s="492">
        <f t="shared" si="52"/>
        <v>549456</v>
      </c>
      <c r="AP30" s="492">
        <f t="shared" si="52"/>
        <v>16256</v>
      </c>
      <c r="AQ30" s="492">
        <f t="shared" si="52"/>
        <v>0</v>
      </c>
      <c r="AR30" s="491">
        <f t="shared" si="53"/>
        <v>3.9899999999999998</v>
      </c>
    </row>
    <row r="31" spans="1:44" ht="13.5" customHeight="1" x14ac:dyDescent="0.2">
      <c r="A31" s="136">
        <v>6</v>
      </c>
      <c r="B31" s="137">
        <v>3446</v>
      </c>
      <c r="C31" s="137">
        <v>600078515</v>
      </c>
      <c r="D31" s="137">
        <v>70694974</v>
      </c>
      <c r="E31" s="135" t="s">
        <v>123</v>
      </c>
      <c r="F31" s="137">
        <v>3143</v>
      </c>
      <c r="G31" s="138" t="s">
        <v>795</v>
      </c>
      <c r="H31" s="157" t="s">
        <v>262</v>
      </c>
      <c r="I31" s="586">
        <f>SUM(J31:L31)</f>
        <v>1621232</v>
      </c>
      <c r="J31" s="490">
        <v>1202694</v>
      </c>
      <c r="K31" s="55">
        <f t="shared" si="42"/>
        <v>406511</v>
      </c>
      <c r="L31" s="55">
        <f t="shared" si="43"/>
        <v>12027</v>
      </c>
      <c r="M31" s="55">
        <v>0</v>
      </c>
      <c r="N31" s="631">
        <v>2.75</v>
      </c>
      <c r="O31" s="440">
        <f>V31*-1</f>
        <v>0</v>
      </c>
      <c r="P31" s="325">
        <v>0</v>
      </c>
      <c r="Q31" s="325">
        <v>0</v>
      </c>
      <c r="R31" s="325">
        <v>0</v>
      </c>
      <c r="S31" s="325">
        <v>0</v>
      </c>
      <c r="T31" s="325">
        <v>0</v>
      </c>
      <c r="U31" s="492">
        <f t="shared" si="44"/>
        <v>0</v>
      </c>
      <c r="V31" s="325">
        <v>0</v>
      </c>
      <c r="W31" s="325">
        <v>0</v>
      </c>
      <c r="X31" s="325">
        <v>0</v>
      </c>
      <c r="Y31" s="492">
        <f t="shared" si="45"/>
        <v>0</v>
      </c>
      <c r="Z31" s="492">
        <f t="shared" si="46"/>
        <v>0</v>
      </c>
      <c r="AA31" s="494">
        <f t="shared" si="47"/>
        <v>0</v>
      </c>
      <c r="AB31" s="494">
        <f t="shared" si="48"/>
        <v>0</v>
      </c>
      <c r="AC31" s="492">
        <v>0</v>
      </c>
      <c r="AD31" s="492">
        <f t="shared" si="49"/>
        <v>0</v>
      </c>
      <c r="AE31" s="326">
        <v>0</v>
      </c>
      <c r="AF31" s="326">
        <v>0</v>
      </c>
      <c r="AG31" s="326">
        <v>0</v>
      </c>
      <c r="AH31" s="326">
        <v>0</v>
      </c>
      <c r="AI31" s="326">
        <v>0</v>
      </c>
      <c r="AJ31" s="326">
        <v>0</v>
      </c>
      <c r="AK31" s="491">
        <f t="shared" si="50"/>
        <v>0</v>
      </c>
      <c r="AL31" s="492">
        <f>I31+AD31</f>
        <v>1621232</v>
      </c>
      <c r="AM31" s="492">
        <f>J31+U31</f>
        <v>1202694</v>
      </c>
      <c r="AN31" s="492">
        <f t="shared" si="51"/>
        <v>0</v>
      </c>
      <c r="AO31" s="492">
        <f t="shared" si="52"/>
        <v>406511</v>
      </c>
      <c r="AP31" s="492">
        <f t="shared" si="52"/>
        <v>12027</v>
      </c>
      <c r="AQ31" s="492">
        <f t="shared" si="52"/>
        <v>0</v>
      </c>
      <c r="AR31" s="491">
        <f t="shared" si="53"/>
        <v>2.75</v>
      </c>
    </row>
    <row r="32" spans="1:44" ht="13.5" customHeight="1" x14ac:dyDescent="0.2">
      <c r="A32" s="107">
        <v>6</v>
      </c>
      <c r="B32" s="15">
        <v>3446</v>
      </c>
      <c r="C32" s="15">
        <v>600078515</v>
      </c>
      <c r="D32" s="15">
        <v>70694974</v>
      </c>
      <c r="E32" s="116" t="s">
        <v>124</v>
      </c>
      <c r="F32" s="15"/>
      <c r="G32" s="106"/>
      <c r="H32" s="560"/>
      <c r="I32" s="794">
        <f t="shared" ref="I32:AR32" si="54">SUM(I28:I31)</f>
        <v>25750137</v>
      </c>
      <c r="J32" s="343">
        <f t="shared" si="54"/>
        <v>19102475</v>
      </c>
      <c r="K32" s="343">
        <f t="shared" si="54"/>
        <v>6456637</v>
      </c>
      <c r="L32" s="343">
        <f t="shared" si="54"/>
        <v>191025</v>
      </c>
      <c r="M32" s="343">
        <f t="shared" si="54"/>
        <v>0</v>
      </c>
      <c r="N32" s="35">
        <f t="shared" si="54"/>
        <v>28.09</v>
      </c>
      <c r="O32" s="346">
        <f t="shared" si="54"/>
        <v>-3000</v>
      </c>
      <c r="P32" s="343">
        <f t="shared" si="54"/>
        <v>1544989</v>
      </c>
      <c r="Q32" s="343">
        <f t="shared" si="54"/>
        <v>80620</v>
      </c>
      <c r="R32" s="343">
        <f t="shared" si="54"/>
        <v>0</v>
      </c>
      <c r="S32" s="343">
        <f t="shared" si="54"/>
        <v>0</v>
      </c>
      <c r="T32" s="343">
        <f t="shared" si="54"/>
        <v>0</v>
      </c>
      <c r="U32" s="343">
        <f t="shared" si="54"/>
        <v>1622609</v>
      </c>
      <c r="V32" s="343">
        <f t="shared" si="54"/>
        <v>3000</v>
      </c>
      <c r="W32" s="343">
        <f t="shared" si="54"/>
        <v>0</v>
      </c>
      <c r="X32" s="343">
        <f t="shared" si="54"/>
        <v>0</v>
      </c>
      <c r="Y32" s="343">
        <f t="shared" si="54"/>
        <v>3000</v>
      </c>
      <c r="Z32" s="343">
        <f t="shared" si="54"/>
        <v>1625609</v>
      </c>
      <c r="AA32" s="343">
        <f t="shared" si="54"/>
        <v>549456</v>
      </c>
      <c r="AB32" s="343">
        <f t="shared" si="54"/>
        <v>16226</v>
      </c>
      <c r="AC32" s="343">
        <f t="shared" si="54"/>
        <v>0</v>
      </c>
      <c r="AD32" s="343">
        <f t="shared" si="54"/>
        <v>2191291</v>
      </c>
      <c r="AE32" s="344">
        <f t="shared" si="54"/>
        <v>0</v>
      </c>
      <c r="AF32" s="344">
        <f t="shared" si="54"/>
        <v>3.88</v>
      </c>
      <c r="AG32" s="344">
        <f t="shared" si="54"/>
        <v>0</v>
      </c>
      <c r="AH32" s="344">
        <f t="shared" si="54"/>
        <v>0.11</v>
      </c>
      <c r="AI32" s="344">
        <f t="shared" si="54"/>
        <v>0</v>
      </c>
      <c r="AJ32" s="344">
        <f t="shared" si="54"/>
        <v>0</v>
      </c>
      <c r="AK32" s="35">
        <f t="shared" si="54"/>
        <v>3.9899999999999998</v>
      </c>
      <c r="AL32" s="346">
        <f t="shared" si="54"/>
        <v>27941428</v>
      </c>
      <c r="AM32" s="343">
        <f t="shared" si="54"/>
        <v>20725084</v>
      </c>
      <c r="AN32" s="343">
        <f t="shared" si="54"/>
        <v>3000</v>
      </c>
      <c r="AO32" s="343">
        <f t="shared" si="54"/>
        <v>7006093</v>
      </c>
      <c r="AP32" s="343">
        <f t="shared" si="54"/>
        <v>207251</v>
      </c>
      <c r="AQ32" s="343">
        <f t="shared" si="54"/>
        <v>0</v>
      </c>
      <c r="AR32" s="344">
        <f t="shared" si="54"/>
        <v>32.08</v>
      </c>
    </row>
    <row r="33" spans="1:44" ht="13.5" customHeight="1" x14ac:dyDescent="0.2">
      <c r="A33" s="136">
        <v>7</v>
      </c>
      <c r="B33" s="137">
        <v>3457</v>
      </c>
      <c r="C33" s="137">
        <v>651040230</v>
      </c>
      <c r="D33" s="137">
        <v>75125412</v>
      </c>
      <c r="E33" s="135" t="s">
        <v>125</v>
      </c>
      <c r="F33" s="137">
        <v>3231</v>
      </c>
      <c r="G33" s="138" t="s">
        <v>281</v>
      </c>
      <c r="H33" s="563" t="s">
        <v>262</v>
      </c>
      <c r="I33" s="586">
        <f>SUM(J33:L33)</f>
        <v>12663989</v>
      </c>
      <c r="J33" s="490">
        <v>9394650</v>
      </c>
      <c r="K33" s="55">
        <f>ROUND(J33*33.8%,0)</f>
        <v>3175392</v>
      </c>
      <c r="L33" s="55">
        <f>ROUND(J33*1%,0)</f>
        <v>93947</v>
      </c>
      <c r="M33" s="55">
        <v>0</v>
      </c>
      <c r="N33" s="631">
        <v>14.11</v>
      </c>
      <c r="O33" s="445">
        <f>V33*-1</f>
        <v>-28800</v>
      </c>
      <c r="P33" s="325">
        <v>0</v>
      </c>
      <c r="Q33" s="325">
        <v>0</v>
      </c>
      <c r="R33" s="325">
        <v>0</v>
      </c>
      <c r="S33" s="325">
        <v>0</v>
      </c>
      <c r="T33" s="325">
        <v>0</v>
      </c>
      <c r="U33" s="492">
        <f>O33+P33+Q33+R33+S33+T33</f>
        <v>-28800</v>
      </c>
      <c r="V33" s="325">
        <v>28800</v>
      </c>
      <c r="W33" s="325">
        <v>0</v>
      </c>
      <c r="X33" s="325">
        <v>0</v>
      </c>
      <c r="Y33" s="492">
        <f>V33+W33+X33</f>
        <v>28800</v>
      </c>
      <c r="Z33" s="492">
        <f>U33+Y33</f>
        <v>0</v>
      </c>
      <c r="AA33" s="494">
        <f>ROUND((U33+Y33)*33.8%,0)</f>
        <v>0</v>
      </c>
      <c r="AB33" s="494">
        <f>ROUND(U33*1%,0)</f>
        <v>-288</v>
      </c>
      <c r="AC33" s="492">
        <v>0</v>
      </c>
      <c r="AD33" s="492">
        <f>Z33+AA33+AB33+AC33</f>
        <v>-288</v>
      </c>
      <c r="AE33" s="326">
        <v>-0.05</v>
      </c>
      <c r="AF33" s="326">
        <v>0</v>
      </c>
      <c r="AG33" s="326">
        <v>0</v>
      </c>
      <c r="AH33" s="326">
        <v>0</v>
      </c>
      <c r="AI33" s="326">
        <v>0</v>
      </c>
      <c r="AJ33" s="326">
        <v>0</v>
      </c>
      <c r="AK33" s="491">
        <f>SUM(AE33:AJ33)</f>
        <v>-0.05</v>
      </c>
      <c r="AL33" s="492">
        <f>I33+AD33</f>
        <v>12663701</v>
      </c>
      <c r="AM33" s="492">
        <f>J33+U33</f>
        <v>9365850</v>
      </c>
      <c r="AN33" s="492">
        <f>Y33</f>
        <v>28800</v>
      </c>
      <c r="AO33" s="492">
        <f>K33+AA33</f>
        <v>3175392</v>
      </c>
      <c r="AP33" s="492">
        <f>L33+AB33</f>
        <v>93659</v>
      </c>
      <c r="AQ33" s="492">
        <f>M33+AC33</f>
        <v>0</v>
      </c>
      <c r="AR33" s="491">
        <f>N33+AK33</f>
        <v>14.059999999999999</v>
      </c>
    </row>
    <row r="34" spans="1:44" ht="13.5" customHeight="1" x14ac:dyDescent="0.2">
      <c r="A34" s="107">
        <v>7</v>
      </c>
      <c r="B34" s="15">
        <v>3457</v>
      </c>
      <c r="C34" s="15">
        <v>651040230</v>
      </c>
      <c r="D34" s="15">
        <v>75125412</v>
      </c>
      <c r="E34" s="116" t="s">
        <v>126</v>
      </c>
      <c r="F34" s="15"/>
      <c r="G34" s="106"/>
      <c r="H34" s="560"/>
      <c r="I34" s="793">
        <f t="shared" ref="I34:AR34" si="55">SUM(I33)</f>
        <v>12663989</v>
      </c>
      <c r="J34" s="341">
        <f t="shared" si="55"/>
        <v>9394650</v>
      </c>
      <c r="K34" s="341">
        <f t="shared" si="55"/>
        <v>3175392</v>
      </c>
      <c r="L34" s="341">
        <f t="shared" si="55"/>
        <v>93947</v>
      </c>
      <c r="M34" s="341">
        <f t="shared" si="55"/>
        <v>0</v>
      </c>
      <c r="N34" s="36">
        <f t="shared" si="55"/>
        <v>14.11</v>
      </c>
      <c r="O34" s="345">
        <f t="shared" si="55"/>
        <v>-28800</v>
      </c>
      <c r="P34" s="341">
        <f t="shared" si="55"/>
        <v>0</v>
      </c>
      <c r="Q34" s="341">
        <f t="shared" si="55"/>
        <v>0</v>
      </c>
      <c r="R34" s="341">
        <f t="shared" si="55"/>
        <v>0</v>
      </c>
      <c r="S34" s="341">
        <f t="shared" si="55"/>
        <v>0</v>
      </c>
      <c r="T34" s="341">
        <f t="shared" si="55"/>
        <v>0</v>
      </c>
      <c r="U34" s="341">
        <f t="shared" si="55"/>
        <v>-28800</v>
      </c>
      <c r="V34" s="341">
        <f t="shared" si="55"/>
        <v>28800</v>
      </c>
      <c r="W34" s="341">
        <f t="shared" si="55"/>
        <v>0</v>
      </c>
      <c r="X34" s="341">
        <f t="shared" si="55"/>
        <v>0</v>
      </c>
      <c r="Y34" s="341">
        <f t="shared" si="55"/>
        <v>28800</v>
      </c>
      <c r="Z34" s="341">
        <f t="shared" si="55"/>
        <v>0</v>
      </c>
      <c r="AA34" s="341">
        <f t="shared" si="55"/>
        <v>0</v>
      </c>
      <c r="AB34" s="341">
        <f t="shared" si="55"/>
        <v>-288</v>
      </c>
      <c r="AC34" s="341">
        <f t="shared" si="55"/>
        <v>0</v>
      </c>
      <c r="AD34" s="341">
        <f t="shared" si="55"/>
        <v>-288</v>
      </c>
      <c r="AE34" s="342">
        <f t="shared" si="55"/>
        <v>-0.05</v>
      </c>
      <c r="AF34" s="342">
        <f t="shared" si="55"/>
        <v>0</v>
      </c>
      <c r="AG34" s="342">
        <f t="shared" si="55"/>
        <v>0</v>
      </c>
      <c r="AH34" s="342">
        <f t="shared" si="55"/>
        <v>0</v>
      </c>
      <c r="AI34" s="342">
        <f t="shared" si="55"/>
        <v>0</v>
      </c>
      <c r="AJ34" s="342">
        <f t="shared" si="55"/>
        <v>0</v>
      </c>
      <c r="AK34" s="36">
        <f t="shared" si="55"/>
        <v>-0.05</v>
      </c>
      <c r="AL34" s="345">
        <f t="shared" si="55"/>
        <v>12663701</v>
      </c>
      <c r="AM34" s="341">
        <f t="shared" si="55"/>
        <v>9365850</v>
      </c>
      <c r="AN34" s="341">
        <f t="shared" si="55"/>
        <v>28800</v>
      </c>
      <c r="AO34" s="341">
        <f t="shared" si="55"/>
        <v>3175392</v>
      </c>
      <c r="AP34" s="341">
        <f t="shared" si="55"/>
        <v>93659</v>
      </c>
      <c r="AQ34" s="341">
        <f t="shared" si="55"/>
        <v>0</v>
      </c>
      <c r="AR34" s="342">
        <f t="shared" si="55"/>
        <v>14.059999999999999</v>
      </c>
    </row>
    <row r="35" spans="1:44" ht="13.5" customHeight="1" x14ac:dyDescent="0.2">
      <c r="A35" s="136">
        <v>8</v>
      </c>
      <c r="B35" s="137">
        <v>3448</v>
      </c>
      <c r="C35" s="137">
        <v>600078299</v>
      </c>
      <c r="D35" s="137">
        <v>70695059</v>
      </c>
      <c r="E35" s="135" t="s">
        <v>127</v>
      </c>
      <c r="F35" s="137">
        <v>3111</v>
      </c>
      <c r="G35" s="138" t="s">
        <v>277</v>
      </c>
      <c r="H35" s="563" t="s">
        <v>262</v>
      </c>
      <c r="I35" s="586">
        <f>SUM(J35:L35)</f>
        <v>3207491</v>
      </c>
      <c r="J35" s="490">
        <v>2379445</v>
      </c>
      <c r="K35" s="55">
        <f>ROUND(J35*33.8%,0)</f>
        <v>804252</v>
      </c>
      <c r="L35" s="55">
        <f>ROUND(J35*1%,0)</f>
        <v>23794</v>
      </c>
      <c r="M35" s="55">
        <v>0</v>
      </c>
      <c r="N35" s="631">
        <v>4</v>
      </c>
      <c r="O35" s="445">
        <f>V35*-1</f>
        <v>0</v>
      </c>
      <c r="P35" s="325">
        <v>0</v>
      </c>
      <c r="Q35" s="325">
        <v>0</v>
      </c>
      <c r="R35" s="325">
        <v>0</v>
      </c>
      <c r="S35" s="325">
        <v>0</v>
      </c>
      <c r="T35" s="325">
        <v>0</v>
      </c>
      <c r="U35" s="492">
        <f>O35+P35+Q35+R35+S35+T35</f>
        <v>0</v>
      </c>
      <c r="V35" s="325">
        <v>0</v>
      </c>
      <c r="W35" s="325">
        <v>0</v>
      </c>
      <c r="X35" s="325">
        <v>0</v>
      </c>
      <c r="Y35" s="492">
        <f>V35+W35+X35</f>
        <v>0</v>
      </c>
      <c r="Z35" s="492">
        <f>U35+Y35</f>
        <v>0</v>
      </c>
      <c r="AA35" s="494">
        <f>ROUND((U35+Y35)*33.8%,0)</f>
        <v>0</v>
      </c>
      <c r="AB35" s="494">
        <f>ROUND(U35*1%,0)</f>
        <v>0</v>
      </c>
      <c r="AC35" s="492">
        <v>0</v>
      </c>
      <c r="AD35" s="492">
        <f>Z35+AA35+AB35+AC35</f>
        <v>0</v>
      </c>
      <c r="AE35" s="326">
        <v>0</v>
      </c>
      <c r="AF35" s="326">
        <v>0</v>
      </c>
      <c r="AG35" s="326">
        <v>0</v>
      </c>
      <c r="AH35" s="326">
        <v>0</v>
      </c>
      <c r="AI35" s="326">
        <v>0</v>
      </c>
      <c r="AJ35" s="326">
        <v>0</v>
      </c>
      <c r="AK35" s="491">
        <f>SUM(AE35:AJ35)</f>
        <v>0</v>
      </c>
      <c r="AL35" s="492">
        <f>I35+AD35</f>
        <v>3207491</v>
      </c>
      <c r="AM35" s="492">
        <f>J35+U35</f>
        <v>2379445</v>
      </c>
      <c r="AN35" s="492">
        <f>Y35</f>
        <v>0</v>
      </c>
      <c r="AO35" s="492">
        <f t="shared" ref="AO35:AQ38" si="56">K35+AA35</f>
        <v>804252</v>
      </c>
      <c r="AP35" s="492">
        <f t="shared" si="56"/>
        <v>23794</v>
      </c>
      <c r="AQ35" s="492">
        <f t="shared" si="56"/>
        <v>0</v>
      </c>
      <c r="AR35" s="491">
        <f>N35+AK35</f>
        <v>4</v>
      </c>
    </row>
    <row r="36" spans="1:44" ht="13.5" customHeight="1" x14ac:dyDescent="0.2">
      <c r="A36" s="136">
        <v>8</v>
      </c>
      <c r="B36" s="137">
        <v>3448</v>
      </c>
      <c r="C36" s="137">
        <v>600078299</v>
      </c>
      <c r="D36" s="137">
        <v>70695041</v>
      </c>
      <c r="E36" s="135" t="s">
        <v>128</v>
      </c>
      <c r="F36" s="137">
        <v>3117</v>
      </c>
      <c r="G36" s="138" t="s">
        <v>280</v>
      </c>
      <c r="H36" s="563" t="s">
        <v>262</v>
      </c>
      <c r="I36" s="586">
        <f>SUM(J36:L36)</f>
        <v>5482482</v>
      </c>
      <c r="J36" s="490">
        <v>4067123</v>
      </c>
      <c r="K36" s="55">
        <f t="shared" ref="K36:K38" si="57">ROUND(J36*33.8%,0)</f>
        <v>1374688</v>
      </c>
      <c r="L36" s="55">
        <f t="shared" ref="L36:L38" si="58">ROUND(J36*1%,0)</f>
        <v>40671</v>
      </c>
      <c r="M36" s="55">
        <v>0</v>
      </c>
      <c r="N36" s="631">
        <v>6.05</v>
      </c>
      <c r="O36" s="445">
        <f>V36*-1</f>
        <v>-4284</v>
      </c>
      <c r="P36" s="325">
        <v>0</v>
      </c>
      <c r="Q36" s="325">
        <v>0</v>
      </c>
      <c r="R36" s="325">
        <v>0</v>
      </c>
      <c r="S36" s="325">
        <v>0</v>
      </c>
      <c r="T36" s="325">
        <v>0</v>
      </c>
      <c r="U36" s="492">
        <f t="shared" ref="U36:U38" si="59">O36+P36+Q36+R36+S36+T36</f>
        <v>-4284</v>
      </c>
      <c r="V36" s="325">
        <v>4284</v>
      </c>
      <c r="W36" s="325">
        <v>0</v>
      </c>
      <c r="X36" s="325">
        <v>0</v>
      </c>
      <c r="Y36" s="492">
        <f t="shared" ref="Y36:Y38" si="60">V36+W36+X36</f>
        <v>4284</v>
      </c>
      <c r="Z36" s="492">
        <f t="shared" ref="Z36:Z38" si="61">U36+Y36</f>
        <v>0</v>
      </c>
      <c r="AA36" s="494">
        <f t="shared" ref="AA36:AA38" si="62">ROUND((U36+Y36)*33.8%,0)</f>
        <v>0</v>
      </c>
      <c r="AB36" s="494">
        <f t="shared" ref="AB36:AB38" si="63">ROUND(U36*1%,0)</f>
        <v>-43</v>
      </c>
      <c r="AC36" s="492">
        <v>0</v>
      </c>
      <c r="AD36" s="492">
        <f t="shared" ref="AD36:AD38" si="64">Z36+AA36+AB36+AC36</f>
        <v>-43</v>
      </c>
      <c r="AE36" s="326">
        <v>-0.01</v>
      </c>
      <c r="AF36" s="326">
        <v>0</v>
      </c>
      <c r="AG36" s="326">
        <v>0</v>
      </c>
      <c r="AH36" s="326">
        <v>0</v>
      </c>
      <c r="AI36" s="326">
        <v>0</v>
      </c>
      <c r="AJ36" s="326">
        <v>0</v>
      </c>
      <c r="AK36" s="491">
        <f t="shared" ref="AK36:AK38" si="65">SUM(AE36:AJ36)</f>
        <v>-0.01</v>
      </c>
      <c r="AL36" s="492">
        <f>I36+AD36</f>
        <v>5482439</v>
      </c>
      <c r="AM36" s="492">
        <f>J36+U36</f>
        <v>4062839</v>
      </c>
      <c r="AN36" s="492">
        <f t="shared" ref="AN36:AN38" si="66">Y36</f>
        <v>4284</v>
      </c>
      <c r="AO36" s="492">
        <f t="shared" si="56"/>
        <v>1374688</v>
      </c>
      <c r="AP36" s="492">
        <f t="shared" si="56"/>
        <v>40628</v>
      </c>
      <c r="AQ36" s="492">
        <f t="shared" si="56"/>
        <v>0</v>
      </c>
      <c r="AR36" s="491">
        <f t="shared" ref="AR36:AR38" si="67">N36+AK36</f>
        <v>6.04</v>
      </c>
    </row>
    <row r="37" spans="1:44" ht="13.5" customHeight="1" x14ac:dyDescent="0.2">
      <c r="A37" s="136">
        <v>8</v>
      </c>
      <c r="B37" s="137">
        <v>3448</v>
      </c>
      <c r="C37" s="137">
        <v>600078299</v>
      </c>
      <c r="D37" s="137">
        <v>70695041</v>
      </c>
      <c r="E37" s="135" t="s">
        <v>128</v>
      </c>
      <c r="F37" s="137">
        <v>3117</v>
      </c>
      <c r="G37" s="138" t="s">
        <v>278</v>
      </c>
      <c r="H37" s="563" t="s">
        <v>263</v>
      </c>
      <c r="I37" s="586">
        <f>SUM(J37:L37)</f>
        <v>0</v>
      </c>
      <c r="J37" s="490"/>
      <c r="K37" s="55">
        <f t="shared" si="57"/>
        <v>0</v>
      </c>
      <c r="L37" s="55">
        <f t="shared" si="58"/>
        <v>0</v>
      </c>
      <c r="M37" s="55">
        <v>0</v>
      </c>
      <c r="N37" s="631">
        <v>0</v>
      </c>
      <c r="O37" s="440">
        <f>V37*-1</f>
        <v>0</v>
      </c>
      <c r="P37" s="325">
        <v>595272</v>
      </c>
      <c r="Q37" s="325">
        <v>0</v>
      </c>
      <c r="R37" s="325">
        <v>0</v>
      </c>
      <c r="S37" s="325">
        <v>0</v>
      </c>
      <c r="T37" s="325">
        <v>0</v>
      </c>
      <c r="U37" s="492">
        <f t="shared" si="59"/>
        <v>595272</v>
      </c>
      <c r="V37" s="325">
        <v>0</v>
      </c>
      <c r="W37" s="325">
        <v>0</v>
      </c>
      <c r="X37" s="325">
        <v>0</v>
      </c>
      <c r="Y37" s="492">
        <f t="shared" si="60"/>
        <v>0</v>
      </c>
      <c r="Z37" s="492">
        <f t="shared" si="61"/>
        <v>595272</v>
      </c>
      <c r="AA37" s="494">
        <f t="shared" si="62"/>
        <v>201202</v>
      </c>
      <c r="AB37" s="494">
        <f t="shared" si="63"/>
        <v>5953</v>
      </c>
      <c r="AC37" s="492">
        <v>0</v>
      </c>
      <c r="AD37" s="492">
        <f t="shared" si="64"/>
        <v>802427</v>
      </c>
      <c r="AE37" s="326">
        <v>0</v>
      </c>
      <c r="AF37" s="326">
        <v>1.5</v>
      </c>
      <c r="AG37" s="326">
        <v>0</v>
      </c>
      <c r="AH37" s="326">
        <v>0</v>
      </c>
      <c r="AI37" s="326">
        <v>0</v>
      </c>
      <c r="AJ37" s="326">
        <v>0</v>
      </c>
      <c r="AK37" s="491">
        <f t="shared" si="65"/>
        <v>1.5</v>
      </c>
      <c r="AL37" s="492">
        <f>I37+AD37</f>
        <v>802427</v>
      </c>
      <c r="AM37" s="492">
        <f>J37+U37</f>
        <v>595272</v>
      </c>
      <c r="AN37" s="492">
        <f t="shared" si="66"/>
        <v>0</v>
      </c>
      <c r="AO37" s="492">
        <f t="shared" si="56"/>
        <v>201202</v>
      </c>
      <c r="AP37" s="492">
        <f t="shared" si="56"/>
        <v>5953</v>
      </c>
      <c r="AQ37" s="492">
        <f t="shared" si="56"/>
        <v>0</v>
      </c>
      <c r="AR37" s="491">
        <f t="shared" si="67"/>
        <v>1.5</v>
      </c>
    </row>
    <row r="38" spans="1:44" ht="13.5" customHeight="1" x14ac:dyDescent="0.2">
      <c r="A38" s="136">
        <v>8</v>
      </c>
      <c r="B38" s="137">
        <v>3448</v>
      </c>
      <c r="C38" s="137">
        <v>600078299</v>
      </c>
      <c r="D38" s="137">
        <v>70695041</v>
      </c>
      <c r="E38" s="135" t="s">
        <v>128</v>
      </c>
      <c r="F38" s="137">
        <v>3143</v>
      </c>
      <c r="G38" s="138" t="s">
        <v>794</v>
      </c>
      <c r="H38" s="157" t="s">
        <v>262</v>
      </c>
      <c r="I38" s="586">
        <f>SUM(J38:L38)</f>
        <v>1061523</v>
      </c>
      <c r="J38" s="490">
        <v>787480</v>
      </c>
      <c r="K38" s="55">
        <f t="shared" si="57"/>
        <v>266168</v>
      </c>
      <c r="L38" s="55">
        <f t="shared" si="58"/>
        <v>7875</v>
      </c>
      <c r="M38" s="55">
        <v>0</v>
      </c>
      <c r="N38" s="631">
        <v>1.5</v>
      </c>
      <c r="O38" s="440">
        <f>V38*-1</f>
        <v>0</v>
      </c>
      <c r="P38" s="325">
        <v>0</v>
      </c>
      <c r="Q38" s="325">
        <v>0</v>
      </c>
      <c r="R38" s="325">
        <v>0</v>
      </c>
      <c r="S38" s="325">
        <v>0</v>
      </c>
      <c r="T38" s="325">
        <v>0</v>
      </c>
      <c r="U38" s="492">
        <f t="shared" si="59"/>
        <v>0</v>
      </c>
      <c r="V38" s="325">
        <v>0</v>
      </c>
      <c r="W38" s="325">
        <v>0</v>
      </c>
      <c r="X38" s="325">
        <v>0</v>
      </c>
      <c r="Y38" s="492">
        <f t="shared" si="60"/>
        <v>0</v>
      </c>
      <c r="Z38" s="492">
        <f t="shared" si="61"/>
        <v>0</v>
      </c>
      <c r="AA38" s="494">
        <f t="shared" si="62"/>
        <v>0</v>
      </c>
      <c r="AB38" s="494">
        <f t="shared" si="63"/>
        <v>0</v>
      </c>
      <c r="AC38" s="492">
        <v>0</v>
      </c>
      <c r="AD38" s="492">
        <f t="shared" si="64"/>
        <v>0</v>
      </c>
      <c r="AE38" s="326">
        <v>0</v>
      </c>
      <c r="AF38" s="326">
        <v>0</v>
      </c>
      <c r="AG38" s="326">
        <v>0</v>
      </c>
      <c r="AH38" s="326">
        <v>0</v>
      </c>
      <c r="AI38" s="326">
        <v>0</v>
      </c>
      <c r="AJ38" s="326">
        <v>0</v>
      </c>
      <c r="AK38" s="491">
        <f t="shared" si="65"/>
        <v>0</v>
      </c>
      <c r="AL38" s="492">
        <f>I38+AD38</f>
        <v>1061523</v>
      </c>
      <c r="AM38" s="492">
        <f>J38+U38</f>
        <v>787480</v>
      </c>
      <c r="AN38" s="492">
        <f t="shared" si="66"/>
        <v>0</v>
      </c>
      <c r="AO38" s="492">
        <f t="shared" si="56"/>
        <v>266168</v>
      </c>
      <c r="AP38" s="492">
        <f t="shared" si="56"/>
        <v>7875</v>
      </c>
      <c r="AQ38" s="492">
        <f t="shared" si="56"/>
        <v>0</v>
      </c>
      <c r="AR38" s="491">
        <f t="shared" si="67"/>
        <v>1.5</v>
      </c>
    </row>
    <row r="39" spans="1:44" ht="13.5" customHeight="1" x14ac:dyDescent="0.2">
      <c r="A39" s="107">
        <v>8</v>
      </c>
      <c r="B39" s="15">
        <v>3448</v>
      </c>
      <c r="C39" s="15">
        <v>600078299</v>
      </c>
      <c r="D39" s="15">
        <v>70695041</v>
      </c>
      <c r="E39" s="116" t="s">
        <v>129</v>
      </c>
      <c r="F39" s="15"/>
      <c r="G39" s="106"/>
      <c r="H39" s="560"/>
      <c r="I39" s="794">
        <f>SUM(I35:I38)</f>
        <v>9751496</v>
      </c>
      <c r="J39" s="343">
        <f t="shared" ref="J39:M39" si="68">SUM(J35:J38)</f>
        <v>7234048</v>
      </c>
      <c r="K39" s="343">
        <f t="shared" si="68"/>
        <v>2445108</v>
      </c>
      <c r="L39" s="343">
        <f t="shared" si="68"/>
        <v>72340</v>
      </c>
      <c r="M39" s="343">
        <f t="shared" si="68"/>
        <v>0</v>
      </c>
      <c r="N39" s="35">
        <f>SUM(N35:N38)</f>
        <v>11.55</v>
      </c>
      <c r="O39" s="346">
        <f>SUM(O35:O38)</f>
        <v>-4284</v>
      </c>
      <c r="P39" s="343">
        <f t="shared" ref="P39:AD39" si="69">SUM(P35:P38)</f>
        <v>595272</v>
      </c>
      <c r="Q39" s="343">
        <f t="shared" si="69"/>
        <v>0</v>
      </c>
      <c r="R39" s="343">
        <f t="shared" si="69"/>
        <v>0</v>
      </c>
      <c r="S39" s="343">
        <f t="shared" si="69"/>
        <v>0</v>
      </c>
      <c r="T39" s="343">
        <f t="shared" si="69"/>
        <v>0</v>
      </c>
      <c r="U39" s="343">
        <f t="shared" si="69"/>
        <v>590988</v>
      </c>
      <c r="V39" s="343">
        <f t="shared" si="69"/>
        <v>4284</v>
      </c>
      <c r="W39" s="343">
        <f t="shared" si="69"/>
        <v>0</v>
      </c>
      <c r="X39" s="343">
        <f t="shared" si="69"/>
        <v>0</v>
      </c>
      <c r="Y39" s="343">
        <f t="shared" si="69"/>
        <v>4284</v>
      </c>
      <c r="Z39" s="343">
        <f t="shared" si="69"/>
        <v>595272</v>
      </c>
      <c r="AA39" s="343">
        <f t="shared" si="69"/>
        <v>201202</v>
      </c>
      <c r="AB39" s="343">
        <f t="shared" si="69"/>
        <v>5910</v>
      </c>
      <c r="AC39" s="343">
        <f t="shared" si="69"/>
        <v>0</v>
      </c>
      <c r="AD39" s="343">
        <f t="shared" si="69"/>
        <v>802384</v>
      </c>
      <c r="AE39" s="344">
        <f>SUM(AE35:AE38)</f>
        <v>-0.01</v>
      </c>
      <c r="AF39" s="344">
        <f t="shared" ref="AF39:AK39" si="70">SUM(AF35:AF38)</f>
        <v>1.5</v>
      </c>
      <c r="AG39" s="344">
        <f t="shared" si="70"/>
        <v>0</v>
      </c>
      <c r="AH39" s="344">
        <f t="shared" si="70"/>
        <v>0</v>
      </c>
      <c r="AI39" s="344">
        <f t="shared" si="70"/>
        <v>0</v>
      </c>
      <c r="AJ39" s="344">
        <f t="shared" si="70"/>
        <v>0</v>
      </c>
      <c r="AK39" s="344">
        <f t="shared" si="70"/>
        <v>1.49</v>
      </c>
      <c r="AL39" s="346">
        <f>SUM(AL35:AL38)</f>
        <v>10553880</v>
      </c>
      <c r="AM39" s="346">
        <f t="shared" ref="AM39:AQ39" si="71">SUM(AM35:AM38)</f>
        <v>7825036</v>
      </c>
      <c r="AN39" s="346">
        <f t="shared" si="71"/>
        <v>4284</v>
      </c>
      <c r="AO39" s="346">
        <f t="shared" si="71"/>
        <v>2646310</v>
      </c>
      <c r="AP39" s="346">
        <f t="shared" si="71"/>
        <v>78250</v>
      </c>
      <c r="AQ39" s="346">
        <f t="shared" si="71"/>
        <v>0</v>
      </c>
      <c r="AR39" s="344">
        <f>SUM(AR35:AR38)</f>
        <v>13.04</v>
      </c>
    </row>
    <row r="40" spans="1:44" ht="13.5" customHeight="1" x14ac:dyDescent="0.2">
      <c r="A40" s="136">
        <v>9</v>
      </c>
      <c r="B40" s="137">
        <v>3402</v>
      </c>
      <c r="C40" s="137">
        <v>600078124</v>
      </c>
      <c r="D40" s="137">
        <v>70982643</v>
      </c>
      <c r="E40" s="135" t="s">
        <v>130</v>
      </c>
      <c r="F40" s="137">
        <v>3111</v>
      </c>
      <c r="G40" s="138" t="s">
        <v>277</v>
      </c>
      <c r="H40" s="563" t="s">
        <v>262</v>
      </c>
      <c r="I40" s="586">
        <f>SUM(J40:L40)</f>
        <v>5074242</v>
      </c>
      <c r="J40" s="490">
        <v>3764274</v>
      </c>
      <c r="K40" s="55">
        <f t="shared" ref="K40:K41" si="72">ROUND(J40*33.8%,0)</f>
        <v>1272325</v>
      </c>
      <c r="L40" s="55">
        <f t="shared" ref="L40:L41" si="73">ROUND(J40*1%,0)</f>
        <v>37643</v>
      </c>
      <c r="M40" s="55">
        <v>0</v>
      </c>
      <c r="N40" s="631">
        <v>6.1</v>
      </c>
      <c r="O40" s="445">
        <f>V40*-1</f>
        <v>-15000</v>
      </c>
      <c r="P40" s="325">
        <v>0</v>
      </c>
      <c r="Q40" s="325">
        <v>0</v>
      </c>
      <c r="R40" s="325">
        <v>0</v>
      </c>
      <c r="S40" s="325">
        <v>0</v>
      </c>
      <c r="T40" s="325">
        <v>0</v>
      </c>
      <c r="U40" s="492">
        <f t="shared" ref="U40:U41" si="74">O40+P40+Q40+R40+S40+T40</f>
        <v>-15000</v>
      </c>
      <c r="V40" s="325">
        <v>15000</v>
      </c>
      <c r="W40" s="325">
        <v>0</v>
      </c>
      <c r="X40" s="325">
        <v>0</v>
      </c>
      <c r="Y40" s="492">
        <f t="shared" ref="Y40:Y41" si="75">V40+W40+X40</f>
        <v>15000</v>
      </c>
      <c r="Z40" s="492">
        <f t="shared" ref="Z40:Z41" si="76">U40+Y40</f>
        <v>0</v>
      </c>
      <c r="AA40" s="494">
        <f t="shared" ref="AA40:AA41" si="77">ROUND((U40+Y40)*33.8%,0)</f>
        <v>0</v>
      </c>
      <c r="AB40" s="494">
        <f t="shared" ref="AB40:AB41" si="78">ROUND(U40*1%,0)</f>
        <v>-150</v>
      </c>
      <c r="AC40" s="492">
        <v>0</v>
      </c>
      <c r="AD40" s="492">
        <f t="shared" ref="AD40:AD41" si="79">Z40+AA40+AB40+AC40</f>
        <v>-150</v>
      </c>
      <c r="AE40" s="326">
        <v>-0.01</v>
      </c>
      <c r="AF40" s="326">
        <v>0</v>
      </c>
      <c r="AG40" s="326">
        <v>0</v>
      </c>
      <c r="AH40" s="326">
        <v>0</v>
      </c>
      <c r="AI40" s="326">
        <v>0</v>
      </c>
      <c r="AJ40" s="326">
        <v>0</v>
      </c>
      <c r="AK40" s="491">
        <f t="shared" ref="AK40:AK41" si="80">SUM(AE40:AJ40)</f>
        <v>-0.01</v>
      </c>
      <c r="AL40" s="492">
        <f>I40+AD40</f>
        <v>5074092</v>
      </c>
      <c r="AM40" s="492">
        <f>J40+U40</f>
        <v>3749274</v>
      </c>
      <c r="AN40" s="492">
        <f t="shared" ref="AN40:AN41" si="81">Y40</f>
        <v>15000</v>
      </c>
      <c r="AO40" s="492">
        <f>K40+AA40</f>
        <v>1272325</v>
      </c>
      <c r="AP40" s="492">
        <f>L40+AB40</f>
        <v>37493</v>
      </c>
      <c r="AQ40" s="492">
        <f t="shared" ref="AQ40:AQ41" si="82">M40+AC40</f>
        <v>0</v>
      </c>
      <c r="AR40" s="491">
        <f t="shared" ref="AR40:AR41" si="83">N40+AK40</f>
        <v>6.09</v>
      </c>
    </row>
    <row r="41" spans="1:44" ht="13.5" customHeight="1" x14ac:dyDescent="0.2">
      <c r="A41" s="136">
        <v>9</v>
      </c>
      <c r="B41" s="137">
        <v>3402</v>
      </c>
      <c r="C41" s="137">
        <v>600078124</v>
      </c>
      <c r="D41" s="137">
        <v>70982643</v>
      </c>
      <c r="E41" s="135" t="s">
        <v>130</v>
      </c>
      <c r="F41" s="137">
        <v>3111</v>
      </c>
      <c r="G41" s="138" t="s">
        <v>278</v>
      </c>
      <c r="H41" s="563" t="s">
        <v>263</v>
      </c>
      <c r="I41" s="586">
        <f>SUM(J41:L41)</f>
        <v>0</v>
      </c>
      <c r="J41" s="490"/>
      <c r="K41" s="55">
        <f t="shared" si="72"/>
        <v>0</v>
      </c>
      <c r="L41" s="55">
        <f t="shared" si="73"/>
        <v>0</v>
      </c>
      <c r="M41" s="55">
        <v>0</v>
      </c>
      <c r="N41" s="631">
        <v>0</v>
      </c>
      <c r="O41" s="440">
        <f>V41*-1</f>
        <v>0</v>
      </c>
      <c r="P41" s="325">
        <v>198424</v>
      </c>
      <c r="Q41" s="325">
        <v>0</v>
      </c>
      <c r="R41" s="325">
        <v>0</v>
      </c>
      <c r="S41" s="325">
        <v>0</v>
      </c>
      <c r="T41" s="325">
        <v>0</v>
      </c>
      <c r="U41" s="492">
        <f t="shared" si="74"/>
        <v>198424</v>
      </c>
      <c r="V41" s="325">
        <v>0</v>
      </c>
      <c r="W41" s="325">
        <v>0</v>
      </c>
      <c r="X41" s="325">
        <v>0</v>
      </c>
      <c r="Y41" s="492">
        <f t="shared" si="75"/>
        <v>0</v>
      </c>
      <c r="Z41" s="492">
        <f t="shared" si="76"/>
        <v>198424</v>
      </c>
      <c r="AA41" s="494">
        <f t="shared" si="77"/>
        <v>67067</v>
      </c>
      <c r="AB41" s="494">
        <f t="shared" si="78"/>
        <v>1984</v>
      </c>
      <c r="AC41" s="492">
        <v>0</v>
      </c>
      <c r="AD41" s="492">
        <f t="shared" si="79"/>
        <v>267475</v>
      </c>
      <c r="AE41" s="326">
        <v>0</v>
      </c>
      <c r="AF41" s="326">
        <v>0.5</v>
      </c>
      <c r="AG41" s="326">
        <v>0</v>
      </c>
      <c r="AH41" s="326">
        <v>0</v>
      </c>
      <c r="AI41" s="326">
        <v>0</v>
      </c>
      <c r="AJ41" s="326">
        <v>0</v>
      </c>
      <c r="AK41" s="491">
        <f t="shared" si="80"/>
        <v>0.5</v>
      </c>
      <c r="AL41" s="492">
        <f>I41+AD41</f>
        <v>267475</v>
      </c>
      <c r="AM41" s="492">
        <f>J41+U41</f>
        <v>198424</v>
      </c>
      <c r="AN41" s="492">
        <f t="shared" si="81"/>
        <v>0</v>
      </c>
      <c r="AO41" s="492">
        <f>K41+AA41</f>
        <v>67067</v>
      </c>
      <c r="AP41" s="492">
        <f>L41+AB41</f>
        <v>1984</v>
      </c>
      <c r="AQ41" s="492">
        <f t="shared" si="82"/>
        <v>0</v>
      </c>
      <c r="AR41" s="491">
        <f t="shared" si="83"/>
        <v>0.5</v>
      </c>
    </row>
    <row r="42" spans="1:44" x14ac:dyDescent="0.2">
      <c r="A42" s="107">
        <v>9</v>
      </c>
      <c r="B42" s="15">
        <v>3402</v>
      </c>
      <c r="C42" s="15">
        <v>600078124</v>
      </c>
      <c r="D42" s="15">
        <v>70982643</v>
      </c>
      <c r="E42" s="116" t="s">
        <v>131</v>
      </c>
      <c r="F42" s="15"/>
      <c r="G42" s="106"/>
      <c r="H42" s="560"/>
      <c r="I42" s="794">
        <f t="shared" ref="I42:AR42" si="84">SUM(I40:I41)</f>
        <v>5074242</v>
      </c>
      <c r="J42" s="343">
        <f t="shared" si="84"/>
        <v>3764274</v>
      </c>
      <c r="K42" s="343">
        <f t="shared" si="84"/>
        <v>1272325</v>
      </c>
      <c r="L42" s="343">
        <f t="shared" si="84"/>
        <v>37643</v>
      </c>
      <c r="M42" s="343">
        <f t="shared" si="84"/>
        <v>0</v>
      </c>
      <c r="N42" s="35">
        <f t="shared" si="84"/>
        <v>6.1</v>
      </c>
      <c r="O42" s="346">
        <f t="shared" si="84"/>
        <v>-15000</v>
      </c>
      <c r="P42" s="343">
        <f t="shared" si="84"/>
        <v>198424</v>
      </c>
      <c r="Q42" s="343">
        <f t="shared" si="84"/>
        <v>0</v>
      </c>
      <c r="R42" s="343">
        <f t="shared" si="84"/>
        <v>0</v>
      </c>
      <c r="S42" s="343">
        <f t="shared" si="84"/>
        <v>0</v>
      </c>
      <c r="T42" s="343">
        <f t="shared" si="84"/>
        <v>0</v>
      </c>
      <c r="U42" s="343">
        <f t="shared" si="84"/>
        <v>183424</v>
      </c>
      <c r="V42" s="343">
        <f t="shared" si="84"/>
        <v>15000</v>
      </c>
      <c r="W42" s="343">
        <f t="shared" si="84"/>
        <v>0</v>
      </c>
      <c r="X42" s="343">
        <f t="shared" si="84"/>
        <v>0</v>
      </c>
      <c r="Y42" s="343">
        <f t="shared" si="84"/>
        <v>15000</v>
      </c>
      <c r="Z42" s="343">
        <f t="shared" si="84"/>
        <v>198424</v>
      </c>
      <c r="AA42" s="343">
        <f t="shared" si="84"/>
        <v>67067</v>
      </c>
      <c r="AB42" s="343">
        <f t="shared" si="84"/>
        <v>1834</v>
      </c>
      <c r="AC42" s="343">
        <f t="shared" si="84"/>
        <v>0</v>
      </c>
      <c r="AD42" s="343">
        <f t="shared" si="84"/>
        <v>267325</v>
      </c>
      <c r="AE42" s="344">
        <f t="shared" si="84"/>
        <v>-0.01</v>
      </c>
      <c r="AF42" s="344">
        <f t="shared" si="84"/>
        <v>0.5</v>
      </c>
      <c r="AG42" s="344">
        <f t="shared" si="84"/>
        <v>0</v>
      </c>
      <c r="AH42" s="344">
        <f t="shared" si="84"/>
        <v>0</v>
      </c>
      <c r="AI42" s="344">
        <f t="shared" si="84"/>
        <v>0</v>
      </c>
      <c r="AJ42" s="344">
        <f t="shared" si="84"/>
        <v>0</v>
      </c>
      <c r="AK42" s="35">
        <f t="shared" si="84"/>
        <v>0.49</v>
      </c>
      <c r="AL42" s="346">
        <f t="shared" si="84"/>
        <v>5341567</v>
      </c>
      <c r="AM42" s="343">
        <f t="shared" si="84"/>
        <v>3947698</v>
      </c>
      <c r="AN42" s="343">
        <f t="shared" si="84"/>
        <v>15000</v>
      </c>
      <c r="AO42" s="343">
        <f t="shared" si="84"/>
        <v>1339392</v>
      </c>
      <c r="AP42" s="343">
        <f t="shared" si="84"/>
        <v>39477</v>
      </c>
      <c r="AQ42" s="343">
        <f t="shared" si="84"/>
        <v>0</v>
      </c>
      <c r="AR42" s="344">
        <f t="shared" si="84"/>
        <v>6.59</v>
      </c>
    </row>
    <row r="43" spans="1:44" x14ac:dyDescent="0.2">
      <c r="A43" s="136">
        <v>10</v>
      </c>
      <c r="B43" s="137">
        <v>3429</v>
      </c>
      <c r="C43" s="137">
        <v>600078256</v>
      </c>
      <c r="D43" s="137">
        <v>43257151</v>
      </c>
      <c r="E43" s="135" t="s">
        <v>132</v>
      </c>
      <c r="F43" s="137">
        <v>3113</v>
      </c>
      <c r="G43" s="138" t="s">
        <v>280</v>
      </c>
      <c r="H43" s="563" t="s">
        <v>262</v>
      </c>
      <c r="I43" s="586">
        <f>SUM(J43:L43)</f>
        <v>15197641</v>
      </c>
      <c r="J43" s="490">
        <v>11274215</v>
      </c>
      <c r="K43" s="55">
        <f>ROUND(J43*33.8%,0)-1</f>
        <v>3810684</v>
      </c>
      <c r="L43" s="55">
        <f t="shared" ref="L43:L45" si="85">ROUND(J43*1%,0)</f>
        <v>112742</v>
      </c>
      <c r="M43" s="55">
        <v>0</v>
      </c>
      <c r="N43" s="631">
        <v>14.5</v>
      </c>
      <c r="O43" s="445">
        <f>V43*-1</f>
        <v>0</v>
      </c>
      <c r="P43" s="325">
        <v>0</v>
      </c>
      <c r="Q43" s="325">
        <v>0</v>
      </c>
      <c r="R43" s="325">
        <v>0</v>
      </c>
      <c r="S43" s="325">
        <v>0</v>
      </c>
      <c r="T43" s="325">
        <v>0</v>
      </c>
      <c r="U43" s="492">
        <f t="shared" ref="U43:U45" si="86">O43+P43+Q43+R43+S43+T43</f>
        <v>0</v>
      </c>
      <c r="V43" s="325">
        <v>0</v>
      </c>
      <c r="W43" s="325">
        <v>0</v>
      </c>
      <c r="X43" s="325">
        <v>0</v>
      </c>
      <c r="Y43" s="492">
        <f t="shared" ref="Y43:Y45" si="87">V43+W43+X43</f>
        <v>0</v>
      </c>
      <c r="Z43" s="492">
        <f t="shared" ref="Z43:Z45" si="88">U43+Y43</f>
        <v>0</v>
      </c>
      <c r="AA43" s="494">
        <f t="shared" ref="AA43:AA45" si="89">ROUND((U43+Y43)*33.8%,0)</f>
        <v>0</v>
      </c>
      <c r="AB43" s="494">
        <f t="shared" ref="AB43:AB45" si="90">ROUND(U43*1%,0)</f>
        <v>0</v>
      </c>
      <c r="AC43" s="492">
        <v>0</v>
      </c>
      <c r="AD43" s="492">
        <f t="shared" ref="AD43:AD45" si="91">Z43+AA43+AB43+AC43</f>
        <v>0</v>
      </c>
      <c r="AE43" s="326">
        <v>0</v>
      </c>
      <c r="AF43" s="326">
        <v>0</v>
      </c>
      <c r="AG43" s="326">
        <v>0</v>
      </c>
      <c r="AH43" s="326">
        <v>0</v>
      </c>
      <c r="AI43" s="326">
        <v>0</v>
      </c>
      <c r="AJ43" s="326">
        <v>0</v>
      </c>
      <c r="AK43" s="491">
        <f t="shared" ref="AK43:AK45" si="92">SUM(AE43:AJ43)</f>
        <v>0</v>
      </c>
      <c r="AL43" s="492">
        <f>I43+AD43</f>
        <v>15197641</v>
      </c>
      <c r="AM43" s="492">
        <f>J43+U43</f>
        <v>11274215</v>
      </c>
      <c r="AN43" s="492">
        <f t="shared" ref="AN43:AN45" si="93">Y43</f>
        <v>0</v>
      </c>
      <c r="AO43" s="492">
        <f t="shared" ref="AO43:AQ45" si="94">K43+AA43</f>
        <v>3810684</v>
      </c>
      <c r="AP43" s="492">
        <f t="shared" si="94"/>
        <v>112742</v>
      </c>
      <c r="AQ43" s="492">
        <f t="shared" si="94"/>
        <v>0</v>
      </c>
      <c r="AR43" s="491">
        <f t="shared" ref="AR43:AR45" si="95">N43+AK43</f>
        <v>14.5</v>
      </c>
    </row>
    <row r="44" spans="1:44" x14ac:dyDescent="0.2">
      <c r="A44" s="136">
        <v>10</v>
      </c>
      <c r="B44" s="137">
        <v>3429</v>
      </c>
      <c r="C44" s="137">
        <v>600078256</v>
      </c>
      <c r="D44" s="137">
        <v>43257151</v>
      </c>
      <c r="E44" s="135" t="s">
        <v>132</v>
      </c>
      <c r="F44" s="137">
        <v>3113</v>
      </c>
      <c r="G44" s="138" t="s">
        <v>278</v>
      </c>
      <c r="H44" s="563" t="s">
        <v>263</v>
      </c>
      <c r="I44" s="586">
        <f>SUM(J44:L44)</f>
        <v>0</v>
      </c>
      <c r="J44" s="490"/>
      <c r="K44" s="55">
        <f t="shared" ref="K44:K45" si="96">ROUND(J44*33.8%,0)</f>
        <v>0</v>
      </c>
      <c r="L44" s="55">
        <f t="shared" si="85"/>
        <v>0</v>
      </c>
      <c r="M44" s="55">
        <v>0</v>
      </c>
      <c r="N44" s="631">
        <v>0</v>
      </c>
      <c r="O44" s="440">
        <f>V44*-1</f>
        <v>0</v>
      </c>
      <c r="P44" s="325">
        <v>1724124</v>
      </c>
      <c r="Q44" s="325">
        <v>0</v>
      </c>
      <c r="R44" s="325">
        <v>0</v>
      </c>
      <c r="S44" s="325">
        <v>0</v>
      </c>
      <c r="T44" s="325">
        <v>0</v>
      </c>
      <c r="U44" s="492">
        <f t="shared" si="86"/>
        <v>1724124</v>
      </c>
      <c r="V44" s="325">
        <v>0</v>
      </c>
      <c r="W44" s="325">
        <v>0</v>
      </c>
      <c r="X44" s="325">
        <v>0</v>
      </c>
      <c r="Y44" s="492">
        <f t="shared" si="87"/>
        <v>0</v>
      </c>
      <c r="Z44" s="492">
        <f t="shared" si="88"/>
        <v>1724124</v>
      </c>
      <c r="AA44" s="494">
        <f t="shared" si="89"/>
        <v>582754</v>
      </c>
      <c r="AB44" s="494">
        <f t="shared" si="90"/>
        <v>17241</v>
      </c>
      <c r="AC44" s="492">
        <v>0</v>
      </c>
      <c r="AD44" s="492">
        <f t="shared" si="91"/>
        <v>2324119</v>
      </c>
      <c r="AE44" s="326">
        <v>0</v>
      </c>
      <c r="AF44" s="326">
        <v>4.33</v>
      </c>
      <c r="AG44" s="326">
        <v>0</v>
      </c>
      <c r="AH44" s="326">
        <v>0</v>
      </c>
      <c r="AI44" s="326">
        <v>0</v>
      </c>
      <c r="AJ44" s="326">
        <v>0</v>
      </c>
      <c r="AK44" s="491">
        <f t="shared" si="92"/>
        <v>4.33</v>
      </c>
      <c r="AL44" s="492">
        <f>I44+AD44</f>
        <v>2324119</v>
      </c>
      <c r="AM44" s="492">
        <f>J44+U44</f>
        <v>1724124</v>
      </c>
      <c r="AN44" s="492">
        <f t="shared" si="93"/>
        <v>0</v>
      </c>
      <c r="AO44" s="492">
        <f t="shared" si="94"/>
        <v>582754</v>
      </c>
      <c r="AP44" s="492">
        <f t="shared" si="94"/>
        <v>17241</v>
      </c>
      <c r="AQ44" s="492">
        <f t="shared" si="94"/>
        <v>0</v>
      </c>
      <c r="AR44" s="491">
        <f t="shared" si="95"/>
        <v>4.33</v>
      </c>
    </row>
    <row r="45" spans="1:44" s="3" customFormat="1" x14ac:dyDescent="0.2">
      <c r="A45" s="136">
        <v>10</v>
      </c>
      <c r="B45" s="137">
        <v>3429</v>
      </c>
      <c r="C45" s="137">
        <v>600078256</v>
      </c>
      <c r="D45" s="137">
        <v>43257151</v>
      </c>
      <c r="E45" s="135" t="s">
        <v>132</v>
      </c>
      <c r="F45" s="137">
        <v>3143</v>
      </c>
      <c r="G45" s="138" t="s">
        <v>794</v>
      </c>
      <c r="H45" s="157" t="s">
        <v>262</v>
      </c>
      <c r="I45" s="586">
        <f>SUM(J45:L45)</f>
        <v>1772061</v>
      </c>
      <c r="J45" s="490">
        <v>1314585</v>
      </c>
      <c r="K45" s="55">
        <f t="shared" si="96"/>
        <v>444330</v>
      </c>
      <c r="L45" s="55">
        <f t="shared" si="85"/>
        <v>13146</v>
      </c>
      <c r="M45" s="55">
        <v>0</v>
      </c>
      <c r="N45" s="631">
        <v>2.61</v>
      </c>
      <c r="O45" s="440">
        <f>V45*-1</f>
        <v>-90000</v>
      </c>
      <c r="P45" s="325">
        <v>0</v>
      </c>
      <c r="Q45" s="325">
        <v>0</v>
      </c>
      <c r="R45" s="325">
        <v>0</v>
      </c>
      <c r="S45" s="325">
        <v>0</v>
      </c>
      <c r="T45" s="325">
        <v>0</v>
      </c>
      <c r="U45" s="492">
        <f t="shared" si="86"/>
        <v>-90000</v>
      </c>
      <c r="V45" s="325">
        <v>90000</v>
      </c>
      <c r="W45" s="325">
        <v>0</v>
      </c>
      <c r="X45" s="325">
        <v>0</v>
      </c>
      <c r="Y45" s="492">
        <f t="shared" si="87"/>
        <v>90000</v>
      </c>
      <c r="Z45" s="492">
        <f t="shared" si="88"/>
        <v>0</v>
      </c>
      <c r="AA45" s="494">
        <f t="shared" si="89"/>
        <v>0</v>
      </c>
      <c r="AB45" s="494">
        <f t="shared" si="90"/>
        <v>-900</v>
      </c>
      <c r="AC45" s="492">
        <v>0</v>
      </c>
      <c r="AD45" s="492">
        <f t="shared" si="91"/>
        <v>-900</v>
      </c>
      <c r="AE45" s="326">
        <v>0</v>
      </c>
      <c r="AF45" s="326">
        <v>0</v>
      </c>
      <c r="AG45" s="326">
        <v>0</v>
      </c>
      <c r="AH45" s="326">
        <v>0</v>
      </c>
      <c r="AI45" s="326">
        <v>0</v>
      </c>
      <c r="AJ45" s="326">
        <v>0</v>
      </c>
      <c r="AK45" s="491">
        <f t="shared" si="92"/>
        <v>0</v>
      </c>
      <c r="AL45" s="492">
        <f>I45+AD45</f>
        <v>1771161</v>
      </c>
      <c r="AM45" s="492">
        <f>J45+U45</f>
        <v>1224585</v>
      </c>
      <c r="AN45" s="492">
        <f t="shared" si="93"/>
        <v>90000</v>
      </c>
      <c r="AO45" s="492">
        <f t="shared" si="94"/>
        <v>444330</v>
      </c>
      <c r="AP45" s="492">
        <f t="shared" si="94"/>
        <v>12246</v>
      </c>
      <c r="AQ45" s="492">
        <f t="shared" si="94"/>
        <v>0</v>
      </c>
      <c r="AR45" s="491">
        <f t="shared" si="95"/>
        <v>2.61</v>
      </c>
    </row>
    <row r="46" spans="1:44" x14ac:dyDescent="0.2">
      <c r="A46" s="107">
        <v>10</v>
      </c>
      <c r="B46" s="15">
        <v>3429</v>
      </c>
      <c r="C46" s="15">
        <v>600078256</v>
      </c>
      <c r="D46" s="15">
        <v>43257151</v>
      </c>
      <c r="E46" s="116" t="s">
        <v>133</v>
      </c>
      <c r="F46" s="15"/>
      <c r="G46" s="106"/>
      <c r="H46" s="560"/>
      <c r="I46" s="794">
        <f t="shared" ref="I46:AR46" si="97">SUM(I43:I45)</f>
        <v>16969702</v>
      </c>
      <c r="J46" s="343">
        <f t="shared" si="97"/>
        <v>12588800</v>
      </c>
      <c r="K46" s="343">
        <f t="shared" si="97"/>
        <v>4255014</v>
      </c>
      <c r="L46" s="343">
        <f t="shared" si="97"/>
        <v>125888</v>
      </c>
      <c r="M46" s="343">
        <f t="shared" si="97"/>
        <v>0</v>
      </c>
      <c r="N46" s="35">
        <f t="shared" si="97"/>
        <v>17.11</v>
      </c>
      <c r="O46" s="346">
        <f t="shared" si="97"/>
        <v>-90000</v>
      </c>
      <c r="P46" s="343">
        <f t="shared" si="97"/>
        <v>1724124</v>
      </c>
      <c r="Q46" s="343">
        <f t="shared" si="97"/>
        <v>0</v>
      </c>
      <c r="R46" s="343">
        <f t="shared" si="97"/>
        <v>0</v>
      </c>
      <c r="S46" s="343">
        <f t="shared" si="97"/>
        <v>0</v>
      </c>
      <c r="T46" s="343">
        <f t="shared" si="97"/>
        <v>0</v>
      </c>
      <c r="U46" s="343">
        <f t="shared" si="97"/>
        <v>1634124</v>
      </c>
      <c r="V46" s="343">
        <f t="shared" si="97"/>
        <v>90000</v>
      </c>
      <c r="W46" s="343">
        <f t="shared" si="97"/>
        <v>0</v>
      </c>
      <c r="X46" s="343">
        <f t="shared" si="97"/>
        <v>0</v>
      </c>
      <c r="Y46" s="343">
        <f t="shared" si="97"/>
        <v>90000</v>
      </c>
      <c r="Z46" s="343">
        <f t="shared" si="97"/>
        <v>1724124</v>
      </c>
      <c r="AA46" s="343">
        <f t="shared" si="97"/>
        <v>582754</v>
      </c>
      <c r="AB46" s="343">
        <f t="shared" si="97"/>
        <v>16341</v>
      </c>
      <c r="AC46" s="343">
        <f t="shared" si="97"/>
        <v>0</v>
      </c>
      <c r="AD46" s="343">
        <f t="shared" si="97"/>
        <v>2323219</v>
      </c>
      <c r="AE46" s="344">
        <f t="shared" si="97"/>
        <v>0</v>
      </c>
      <c r="AF46" s="344">
        <f t="shared" si="97"/>
        <v>4.33</v>
      </c>
      <c r="AG46" s="344">
        <f t="shared" si="97"/>
        <v>0</v>
      </c>
      <c r="AH46" s="344">
        <f t="shared" si="97"/>
        <v>0</v>
      </c>
      <c r="AI46" s="344">
        <f t="shared" si="97"/>
        <v>0</v>
      </c>
      <c r="AJ46" s="344">
        <f t="shared" si="97"/>
        <v>0</v>
      </c>
      <c r="AK46" s="35">
        <f t="shared" si="97"/>
        <v>4.33</v>
      </c>
      <c r="AL46" s="346">
        <f t="shared" si="97"/>
        <v>19292921</v>
      </c>
      <c r="AM46" s="343">
        <f t="shared" si="97"/>
        <v>14222924</v>
      </c>
      <c r="AN46" s="343">
        <f t="shared" si="97"/>
        <v>90000</v>
      </c>
      <c r="AO46" s="343">
        <f t="shared" si="97"/>
        <v>4837768</v>
      </c>
      <c r="AP46" s="343">
        <f t="shared" si="97"/>
        <v>142229</v>
      </c>
      <c r="AQ46" s="343">
        <f t="shared" si="97"/>
        <v>0</v>
      </c>
      <c r="AR46" s="344">
        <f t="shared" si="97"/>
        <v>21.439999999999998</v>
      </c>
    </row>
    <row r="47" spans="1:44" x14ac:dyDescent="0.2">
      <c r="A47" s="136">
        <v>11</v>
      </c>
      <c r="B47" s="137">
        <v>3405</v>
      </c>
      <c r="C47" s="137">
        <v>600078337</v>
      </c>
      <c r="D47" s="137">
        <v>70698325</v>
      </c>
      <c r="E47" s="135" t="s">
        <v>134</v>
      </c>
      <c r="F47" s="137">
        <v>3111</v>
      </c>
      <c r="G47" s="138" t="s">
        <v>277</v>
      </c>
      <c r="H47" s="563" t="s">
        <v>262</v>
      </c>
      <c r="I47" s="586">
        <f>SUM(J47:L47)</f>
        <v>1519536</v>
      </c>
      <c r="J47" s="490">
        <v>1127252</v>
      </c>
      <c r="K47" s="55">
        <f t="shared" ref="K47:K50" si="98">ROUND(J47*33.8%,0)</f>
        <v>381011</v>
      </c>
      <c r="L47" s="55">
        <f t="shared" ref="L47:L50" si="99">ROUND(J47*1%,0)</f>
        <v>11273</v>
      </c>
      <c r="M47" s="55">
        <v>0</v>
      </c>
      <c r="N47" s="631">
        <v>1.85</v>
      </c>
      <c r="O47" s="445">
        <f>V47*-1</f>
        <v>0</v>
      </c>
      <c r="P47" s="325">
        <v>0</v>
      </c>
      <c r="Q47" s="325">
        <v>0</v>
      </c>
      <c r="R47" s="325">
        <v>0</v>
      </c>
      <c r="S47" s="325">
        <v>0</v>
      </c>
      <c r="T47" s="325">
        <v>0</v>
      </c>
      <c r="U47" s="492">
        <f t="shared" ref="U47:U50" si="100">O47+P47+Q47+R47+S47+T47</f>
        <v>0</v>
      </c>
      <c r="V47" s="325">
        <v>0</v>
      </c>
      <c r="W47" s="325">
        <v>0</v>
      </c>
      <c r="X47" s="325">
        <v>0</v>
      </c>
      <c r="Y47" s="492">
        <f t="shared" ref="Y47:Y50" si="101">V47+W47+X47</f>
        <v>0</v>
      </c>
      <c r="Z47" s="492">
        <f t="shared" ref="Z47:Z50" si="102">U47+Y47</f>
        <v>0</v>
      </c>
      <c r="AA47" s="494">
        <f t="shared" ref="AA47:AA50" si="103">ROUND((U47+Y47)*33.8%,0)</f>
        <v>0</v>
      </c>
      <c r="AB47" s="494">
        <f t="shared" ref="AB47:AB50" si="104">ROUND(U47*1%,0)</f>
        <v>0</v>
      </c>
      <c r="AC47" s="492">
        <v>0</v>
      </c>
      <c r="AD47" s="492">
        <f t="shared" ref="AD47:AD50" si="105">Z47+AA47+AB47+AC47</f>
        <v>0</v>
      </c>
      <c r="AE47" s="326">
        <v>0</v>
      </c>
      <c r="AF47" s="326">
        <v>0</v>
      </c>
      <c r="AG47" s="326">
        <v>0</v>
      </c>
      <c r="AH47" s="326">
        <v>0</v>
      </c>
      <c r="AI47" s="326">
        <v>0</v>
      </c>
      <c r="AJ47" s="326">
        <v>0</v>
      </c>
      <c r="AK47" s="491">
        <f t="shared" ref="AK47:AK50" si="106">SUM(AE47:AJ47)</f>
        <v>0</v>
      </c>
      <c r="AL47" s="492">
        <f>I47+AD47</f>
        <v>1519536</v>
      </c>
      <c r="AM47" s="492">
        <f>J47+U47</f>
        <v>1127252</v>
      </c>
      <c r="AN47" s="492">
        <f t="shared" ref="AN47:AN50" si="107">Y47</f>
        <v>0</v>
      </c>
      <c r="AO47" s="492">
        <f t="shared" ref="AO47:AQ50" si="108">K47+AA47</f>
        <v>381011</v>
      </c>
      <c r="AP47" s="492">
        <f t="shared" si="108"/>
        <v>11273</v>
      </c>
      <c r="AQ47" s="492">
        <f t="shared" si="108"/>
        <v>0</v>
      </c>
      <c r="AR47" s="491">
        <f t="shared" ref="AR47:AR50" si="109">N47+AK47</f>
        <v>1.85</v>
      </c>
    </row>
    <row r="48" spans="1:44" x14ac:dyDescent="0.2">
      <c r="A48" s="136">
        <v>11</v>
      </c>
      <c r="B48" s="137">
        <v>3405</v>
      </c>
      <c r="C48" s="137">
        <v>600078337</v>
      </c>
      <c r="D48" s="137">
        <v>70698325</v>
      </c>
      <c r="E48" s="135" t="s">
        <v>134</v>
      </c>
      <c r="F48" s="137">
        <v>3117</v>
      </c>
      <c r="G48" s="138" t="s">
        <v>280</v>
      </c>
      <c r="H48" s="563" t="s">
        <v>262</v>
      </c>
      <c r="I48" s="586">
        <f>SUM(J48:L48)</f>
        <v>1622716</v>
      </c>
      <c r="J48" s="490">
        <v>1203796</v>
      </c>
      <c r="K48" s="55">
        <f t="shared" si="98"/>
        <v>406883</v>
      </c>
      <c r="L48" s="55">
        <f>ROUND(J48*1%,0)-1</f>
        <v>12037</v>
      </c>
      <c r="M48" s="55">
        <v>0</v>
      </c>
      <c r="N48" s="631">
        <v>1.7</v>
      </c>
      <c r="O48" s="440">
        <f>V48*-1</f>
        <v>0</v>
      </c>
      <c r="P48" s="325">
        <v>0</v>
      </c>
      <c r="Q48" s="325">
        <v>0</v>
      </c>
      <c r="R48" s="325">
        <v>0</v>
      </c>
      <c r="S48" s="325">
        <v>0</v>
      </c>
      <c r="T48" s="325">
        <v>0</v>
      </c>
      <c r="U48" s="492">
        <f t="shared" si="100"/>
        <v>0</v>
      </c>
      <c r="V48" s="325">
        <v>0</v>
      </c>
      <c r="W48" s="325">
        <v>0</v>
      </c>
      <c r="X48" s="325">
        <v>0</v>
      </c>
      <c r="Y48" s="492">
        <f t="shared" si="101"/>
        <v>0</v>
      </c>
      <c r="Z48" s="492">
        <f t="shared" si="102"/>
        <v>0</v>
      </c>
      <c r="AA48" s="494">
        <f t="shared" si="103"/>
        <v>0</v>
      </c>
      <c r="AB48" s="494">
        <f t="shared" si="104"/>
        <v>0</v>
      </c>
      <c r="AC48" s="492">
        <v>0</v>
      </c>
      <c r="AD48" s="492">
        <f t="shared" si="105"/>
        <v>0</v>
      </c>
      <c r="AE48" s="326">
        <v>0</v>
      </c>
      <c r="AF48" s="326">
        <v>0</v>
      </c>
      <c r="AG48" s="326">
        <v>0</v>
      </c>
      <c r="AH48" s="326">
        <v>0</v>
      </c>
      <c r="AI48" s="326">
        <v>0</v>
      </c>
      <c r="AJ48" s="326">
        <v>0</v>
      </c>
      <c r="AK48" s="491">
        <f t="shared" si="106"/>
        <v>0</v>
      </c>
      <c r="AL48" s="492">
        <f>I48+AD48</f>
        <v>1622716</v>
      </c>
      <c r="AM48" s="492">
        <f>J48+U48</f>
        <v>1203796</v>
      </c>
      <c r="AN48" s="492">
        <f t="shared" si="107"/>
        <v>0</v>
      </c>
      <c r="AO48" s="492">
        <f t="shared" si="108"/>
        <v>406883</v>
      </c>
      <c r="AP48" s="492">
        <f t="shared" si="108"/>
        <v>12037</v>
      </c>
      <c r="AQ48" s="492">
        <f t="shared" si="108"/>
        <v>0</v>
      </c>
      <c r="AR48" s="491">
        <f t="shared" si="109"/>
        <v>1.7</v>
      </c>
    </row>
    <row r="49" spans="1:44" x14ac:dyDescent="0.2">
      <c r="A49" s="136">
        <v>11</v>
      </c>
      <c r="B49" s="137">
        <v>3405</v>
      </c>
      <c r="C49" s="137">
        <v>600078337</v>
      </c>
      <c r="D49" s="137">
        <v>70698325</v>
      </c>
      <c r="E49" s="135" t="s">
        <v>134</v>
      </c>
      <c r="F49" s="137">
        <v>3117</v>
      </c>
      <c r="G49" s="138" t="s">
        <v>278</v>
      </c>
      <c r="H49" s="563" t="s">
        <v>263</v>
      </c>
      <c r="I49" s="586">
        <f>SUM(J49:L49)</f>
        <v>0</v>
      </c>
      <c r="J49" s="490"/>
      <c r="K49" s="55">
        <f t="shared" si="98"/>
        <v>0</v>
      </c>
      <c r="L49" s="55">
        <f t="shared" si="99"/>
        <v>0</v>
      </c>
      <c r="M49" s="55">
        <v>0</v>
      </c>
      <c r="N49" s="631">
        <v>0</v>
      </c>
      <c r="O49" s="440">
        <f>V49*-1</f>
        <v>0</v>
      </c>
      <c r="P49" s="325">
        <v>694483</v>
      </c>
      <c r="Q49" s="325">
        <v>0</v>
      </c>
      <c r="R49" s="325">
        <v>0</v>
      </c>
      <c r="S49" s="325">
        <v>0</v>
      </c>
      <c r="T49" s="325">
        <v>0</v>
      </c>
      <c r="U49" s="492">
        <f t="shared" si="100"/>
        <v>694483</v>
      </c>
      <c r="V49" s="325">
        <v>0</v>
      </c>
      <c r="W49" s="325">
        <v>0</v>
      </c>
      <c r="X49" s="325">
        <v>0</v>
      </c>
      <c r="Y49" s="492">
        <f t="shared" si="101"/>
        <v>0</v>
      </c>
      <c r="Z49" s="492">
        <f t="shared" si="102"/>
        <v>694483</v>
      </c>
      <c r="AA49" s="494">
        <f t="shared" si="103"/>
        <v>234735</v>
      </c>
      <c r="AB49" s="494">
        <f t="shared" si="104"/>
        <v>6945</v>
      </c>
      <c r="AC49" s="492">
        <v>0</v>
      </c>
      <c r="AD49" s="492">
        <f t="shared" si="105"/>
        <v>936163</v>
      </c>
      <c r="AE49" s="326">
        <v>0</v>
      </c>
      <c r="AF49" s="326">
        <v>1.75</v>
      </c>
      <c r="AG49" s="326">
        <v>0</v>
      </c>
      <c r="AH49" s="326">
        <v>0</v>
      </c>
      <c r="AI49" s="326">
        <v>0</v>
      </c>
      <c r="AJ49" s="326">
        <v>0</v>
      </c>
      <c r="AK49" s="491">
        <f t="shared" si="106"/>
        <v>1.75</v>
      </c>
      <c r="AL49" s="492">
        <f>I49+AD49</f>
        <v>936163</v>
      </c>
      <c r="AM49" s="492">
        <f>J49+U49</f>
        <v>694483</v>
      </c>
      <c r="AN49" s="492">
        <f t="shared" si="107"/>
        <v>0</v>
      </c>
      <c r="AO49" s="492">
        <f t="shared" si="108"/>
        <v>234735</v>
      </c>
      <c r="AP49" s="492">
        <f t="shared" si="108"/>
        <v>6945</v>
      </c>
      <c r="AQ49" s="492">
        <f t="shared" si="108"/>
        <v>0</v>
      </c>
      <c r="AR49" s="491">
        <f t="shared" si="109"/>
        <v>1.75</v>
      </c>
    </row>
    <row r="50" spans="1:44" x14ac:dyDescent="0.2">
      <c r="A50" s="136">
        <v>11</v>
      </c>
      <c r="B50" s="137">
        <v>3405</v>
      </c>
      <c r="C50" s="137">
        <v>600078337</v>
      </c>
      <c r="D50" s="137">
        <v>70698325</v>
      </c>
      <c r="E50" s="135" t="s">
        <v>134</v>
      </c>
      <c r="F50" s="137">
        <v>3143</v>
      </c>
      <c r="G50" s="138" t="s">
        <v>794</v>
      </c>
      <c r="H50" s="157" t="s">
        <v>262</v>
      </c>
      <c r="I50" s="586">
        <f>SUM(J50:L50)</f>
        <v>376610</v>
      </c>
      <c r="J50" s="490">
        <v>279384</v>
      </c>
      <c r="K50" s="55">
        <f t="shared" si="98"/>
        <v>94432</v>
      </c>
      <c r="L50" s="55">
        <f t="shared" si="99"/>
        <v>2794</v>
      </c>
      <c r="M50" s="55">
        <v>0</v>
      </c>
      <c r="N50" s="631">
        <v>0.56000000000000005</v>
      </c>
      <c r="O50" s="440">
        <f>V50*-1</f>
        <v>0</v>
      </c>
      <c r="P50" s="325">
        <v>0</v>
      </c>
      <c r="Q50" s="325">
        <v>0</v>
      </c>
      <c r="R50" s="325">
        <v>0</v>
      </c>
      <c r="S50" s="325">
        <v>0</v>
      </c>
      <c r="T50" s="325">
        <v>0</v>
      </c>
      <c r="U50" s="492">
        <f t="shared" si="100"/>
        <v>0</v>
      </c>
      <c r="V50" s="325">
        <v>0</v>
      </c>
      <c r="W50" s="325">
        <v>0</v>
      </c>
      <c r="X50" s="325">
        <v>0</v>
      </c>
      <c r="Y50" s="492">
        <f t="shared" si="101"/>
        <v>0</v>
      </c>
      <c r="Z50" s="492">
        <f t="shared" si="102"/>
        <v>0</v>
      </c>
      <c r="AA50" s="494">
        <f t="shared" si="103"/>
        <v>0</v>
      </c>
      <c r="AB50" s="494">
        <f t="shared" si="104"/>
        <v>0</v>
      </c>
      <c r="AC50" s="492">
        <v>0</v>
      </c>
      <c r="AD50" s="492">
        <f t="shared" si="105"/>
        <v>0</v>
      </c>
      <c r="AE50" s="326">
        <v>0</v>
      </c>
      <c r="AF50" s="326">
        <v>0</v>
      </c>
      <c r="AG50" s="326">
        <v>0</v>
      </c>
      <c r="AH50" s="326">
        <v>0</v>
      </c>
      <c r="AI50" s="326">
        <v>0</v>
      </c>
      <c r="AJ50" s="326">
        <v>0</v>
      </c>
      <c r="AK50" s="491">
        <f t="shared" si="106"/>
        <v>0</v>
      </c>
      <c r="AL50" s="492">
        <f>I50+AD50</f>
        <v>376610</v>
      </c>
      <c r="AM50" s="492">
        <f>J50+U50</f>
        <v>279384</v>
      </c>
      <c r="AN50" s="492">
        <f t="shared" si="107"/>
        <v>0</v>
      </c>
      <c r="AO50" s="492">
        <f t="shared" si="108"/>
        <v>94432</v>
      </c>
      <c r="AP50" s="492">
        <f t="shared" si="108"/>
        <v>2794</v>
      </c>
      <c r="AQ50" s="492">
        <f t="shared" si="108"/>
        <v>0</v>
      </c>
      <c r="AR50" s="491">
        <f t="shared" si="109"/>
        <v>0.56000000000000005</v>
      </c>
    </row>
    <row r="51" spans="1:44" x14ac:dyDescent="0.2">
      <c r="A51" s="107">
        <v>11</v>
      </c>
      <c r="B51" s="15">
        <v>3405</v>
      </c>
      <c r="C51" s="15">
        <v>600078337</v>
      </c>
      <c r="D51" s="15">
        <v>70698325</v>
      </c>
      <c r="E51" s="116" t="s">
        <v>135</v>
      </c>
      <c r="F51" s="15"/>
      <c r="G51" s="106"/>
      <c r="H51" s="560"/>
      <c r="I51" s="794">
        <f t="shared" ref="I51:AR51" si="110">SUM(I47:I50)</f>
        <v>3518862</v>
      </c>
      <c r="J51" s="343">
        <f t="shared" si="110"/>
        <v>2610432</v>
      </c>
      <c r="K51" s="343">
        <f t="shared" si="110"/>
        <v>882326</v>
      </c>
      <c r="L51" s="343">
        <f t="shared" si="110"/>
        <v>26104</v>
      </c>
      <c r="M51" s="343">
        <f t="shared" si="110"/>
        <v>0</v>
      </c>
      <c r="N51" s="35">
        <f t="shared" si="110"/>
        <v>4.1099999999999994</v>
      </c>
      <c r="O51" s="346">
        <f t="shared" si="110"/>
        <v>0</v>
      </c>
      <c r="P51" s="343">
        <f t="shared" si="110"/>
        <v>694483</v>
      </c>
      <c r="Q51" s="343">
        <f t="shared" si="110"/>
        <v>0</v>
      </c>
      <c r="R51" s="343">
        <f t="shared" si="110"/>
        <v>0</v>
      </c>
      <c r="S51" s="343">
        <f t="shared" si="110"/>
        <v>0</v>
      </c>
      <c r="T51" s="343">
        <f t="shared" si="110"/>
        <v>0</v>
      </c>
      <c r="U51" s="343">
        <f t="shared" si="110"/>
        <v>694483</v>
      </c>
      <c r="V51" s="343">
        <f t="shared" si="110"/>
        <v>0</v>
      </c>
      <c r="W51" s="343">
        <f t="shared" si="110"/>
        <v>0</v>
      </c>
      <c r="X51" s="343">
        <f t="shared" si="110"/>
        <v>0</v>
      </c>
      <c r="Y51" s="343">
        <f t="shared" si="110"/>
        <v>0</v>
      </c>
      <c r="Z51" s="343">
        <f t="shared" si="110"/>
        <v>694483</v>
      </c>
      <c r="AA51" s="343">
        <f t="shared" si="110"/>
        <v>234735</v>
      </c>
      <c r="AB51" s="343">
        <f t="shared" si="110"/>
        <v>6945</v>
      </c>
      <c r="AC51" s="343">
        <f t="shared" si="110"/>
        <v>0</v>
      </c>
      <c r="AD51" s="343">
        <f t="shared" si="110"/>
        <v>936163</v>
      </c>
      <c r="AE51" s="344">
        <f t="shared" si="110"/>
        <v>0</v>
      </c>
      <c r="AF51" s="344">
        <f t="shared" si="110"/>
        <v>1.75</v>
      </c>
      <c r="AG51" s="344">
        <f t="shared" si="110"/>
        <v>0</v>
      </c>
      <c r="AH51" s="344">
        <f t="shared" si="110"/>
        <v>0</v>
      </c>
      <c r="AI51" s="344">
        <f t="shared" si="110"/>
        <v>0</v>
      </c>
      <c r="AJ51" s="344">
        <f t="shared" si="110"/>
        <v>0</v>
      </c>
      <c r="AK51" s="35">
        <f t="shared" si="110"/>
        <v>1.75</v>
      </c>
      <c r="AL51" s="346">
        <f t="shared" si="110"/>
        <v>4455025</v>
      </c>
      <c r="AM51" s="343">
        <f t="shared" si="110"/>
        <v>3304915</v>
      </c>
      <c r="AN51" s="343">
        <f t="shared" si="110"/>
        <v>0</v>
      </c>
      <c r="AO51" s="343">
        <f t="shared" si="110"/>
        <v>1117061</v>
      </c>
      <c r="AP51" s="343">
        <f t="shared" si="110"/>
        <v>33049</v>
      </c>
      <c r="AQ51" s="343">
        <f t="shared" si="110"/>
        <v>0</v>
      </c>
      <c r="AR51" s="344">
        <f t="shared" si="110"/>
        <v>5.8599999999999994</v>
      </c>
    </row>
    <row r="52" spans="1:44" x14ac:dyDescent="0.2">
      <c r="A52" s="136">
        <v>12</v>
      </c>
      <c r="B52" s="137">
        <v>3444</v>
      </c>
      <c r="C52" s="137">
        <v>600078086</v>
      </c>
      <c r="D52" s="137">
        <v>16389573</v>
      </c>
      <c r="E52" s="135" t="s">
        <v>136</v>
      </c>
      <c r="F52" s="137">
        <v>3111</v>
      </c>
      <c r="G52" s="138" t="s">
        <v>277</v>
      </c>
      <c r="H52" s="563" t="s">
        <v>262</v>
      </c>
      <c r="I52" s="586">
        <f>SUM(J52:L52)</f>
        <v>3180613</v>
      </c>
      <c r="J52" s="490">
        <v>2359505</v>
      </c>
      <c r="K52" s="55">
        <f>ROUND(J52*33.8%,0)</f>
        <v>797513</v>
      </c>
      <c r="L52" s="55">
        <f>ROUND(J52*1%,0)</f>
        <v>23595</v>
      </c>
      <c r="M52" s="55">
        <v>0</v>
      </c>
      <c r="N52" s="631">
        <v>3.9</v>
      </c>
      <c r="O52" s="445">
        <f>V52*-1</f>
        <v>0</v>
      </c>
      <c r="P52" s="325">
        <v>0</v>
      </c>
      <c r="Q52" s="325">
        <v>0</v>
      </c>
      <c r="R52" s="325">
        <v>0</v>
      </c>
      <c r="S52" s="325">
        <v>0</v>
      </c>
      <c r="T52" s="325">
        <v>0</v>
      </c>
      <c r="U52" s="492">
        <f>O52+P52+Q52+R52+S52+T52</f>
        <v>0</v>
      </c>
      <c r="V52" s="325">
        <v>0</v>
      </c>
      <c r="W52" s="325">
        <v>0</v>
      </c>
      <c r="X52" s="325">
        <v>0</v>
      </c>
      <c r="Y52" s="492">
        <f>V52+W52+X52</f>
        <v>0</v>
      </c>
      <c r="Z52" s="492">
        <f>U52+Y52</f>
        <v>0</v>
      </c>
      <c r="AA52" s="494">
        <f>ROUND((U52+Y52)*33.8%,0)</f>
        <v>0</v>
      </c>
      <c r="AB52" s="494">
        <f>ROUND(U52*1%,0)</f>
        <v>0</v>
      </c>
      <c r="AC52" s="492">
        <v>0</v>
      </c>
      <c r="AD52" s="492">
        <f>Z52+AA52+AB52+AC52</f>
        <v>0</v>
      </c>
      <c r="AE52" s="326">
        <v>0</v>
      </c>
      <c r="AF52" s="326">
        <v>0</v>
      </c>
      <c r="AG52" s="326">
        <v>0</v>
      </c>
      <c r="AH52" s="326">
        <v>0</v>
      </c>
      <c r="AI52" s="326">
        <v>0</v>
      </c>
      <c r="AJ52" s="326">
        <v>0</v>
      </c>
      <c r="AK52" s="491">
        <f>SUM(AE52:AJ52)</f>
        <v>0</v>
      </c>
      <c r="AL52" s="492">
        <f>I52+AD52</f>
        <v>3180613</v>
      </c>
      <c r="AM52" s="492">
        <f>J52+U52</f>
        <v>2359505</v>
      </c>
      <c r="AN52" s="492">
        <f>Y52</f>
        <v>0</v>
      </c>
      <c r="AO52" s="492">
        <f>K52+AA52</f>
        <v>797513</v>
      </c>
      <c r="AP52" s="492">
        <f>L52+AB52</f>
        <v>23595</v>
      </c>
      <c r="AQ52" s="492">
        <f>M52+AC52</f>
        <v>0</v>
      </c>
      <c r="AR52" s="491">
        <f>N52+AK52</f>
        <v>3.9</v>
      </c>
    </row>
    <row r="53" spans="1:44" x14ac:dyDescent="0.2">
      <c r="A53" s="107">
        <v>12</v>
      </c>
      <c r="B53" s="15">
        <v>3444</v>
      </c>
      <c r="C53" s="15">
        <v>600078086</v>
      </c>
      <c r="D53" s="15">
        <v>16389573</v>
      </c>
      <c r="E53" s="116" t="s">
        <v>137</v>
      </c>
      <c r="F53" s="15"/>
      <c r="G53" s="106"/>
      <c r="H53" s="560"/>
      <c r="I53" s="794">
        <f t="shared" ref="I53:AR53" si="111">SUM(I52:I52)</f>
        <v>3180613</v>
      </c>
      <c r="J53" s="343">
        <f t="shared" si="111"/>
        <v>2359505</v>
      </c>
      <c r="K53" s="343">
        <f t="shared" si="111"/>
        <v>797513</v>
      </c>
      <c r="L53" s="343">
        <f t="shared" si="111"/>
        <v>23595</v>
      </c>
      <c r="M53" s="343">
        <f t="shared" si="111"/>
        <v>0</v>
      </c>
      <c r="N53" s="35">
        <f t="shared" si="111"/>
        <v>3.9</v>
      </c>
      <c r="O53" s="346">
        <f t="shared" si="111"/>
        <v>0</v>
      </c>
      <c r="P53" s="343">
        <f t="shared" si="111"/>
        <v>0</v>
      </c>
      <c r="Q53" s="343">
        <f t="shared" si="111"/>
        <v>0</v>
      </c>
      <c r="R53" s="343">
        <f t="shared" si="111"/>
        <v>0</v>
      </c>
      <c r="S53" s="343">
        <f t="shared" si="111"/>
        <v>0</v>
      </c>
      <c r="T53" s="343">
        <f t="shared" si="111"/>
        <v>0</v>
      </c>
      <c r="U53" s="343">
        <f t="shared" si="111"/>
        <v>0</v>
      </c>
      <c r="V53" s="343">
        <f t="shared" si="111"/>
        <v>0</v>
      </c>
      <c r="W53" s="343">
        <f t="shared" si="111"/>
        <v>0</v>
      </c>
      <c r="X53" s="343">
        <f t="shared" si="111"/>
        <v>0</v>
      </c>
      <c r="Y53" s="343">
        <f t="shared" si="111"/>
        <v>0</v>
      </c>
      <c r="Z53" s="343">
        <f t="shared" si="111"/>
        <v>0</v>
      </c>
      <c r="AA53" s="343">
        <f t="shared" si="111"/>
        <v>0</v>
      </c>
      <c r="AB53" s="343">
        <f t="shared" si="111"/>
        <v>0</v>
      </c>
      <c r="AC53" s="343">
        <f t="shared" si="111"/>
        <v>0</v>
      </c>
      <c r="AD53" s="343">
        <f t="shared" si="111"/>
        <v>0</v>
      </c>
      <c r="AE53" s="344">
        <f t="shared" si="111"/>
        <v>0</v>
      </c>
      <c r="AF53" s="344">
        <f t="shared" si="111"/>
        <v>0</v>
      </c>
      <c r="AG53" s="344">
        <f t="shared" si="111"/>
        <v>0</v>
      </c>
      <c r="AH53" s="344">
        <f t="shared" si="111"/>
        <v>0</v>
      </c>
      <c r="AI53" s="344">
        <f t="shared" si="111"/>
        <v>0</v>
      </c>
      <c r="AJ53" s="344">
        <f t="shared" si="111"/>
        <v>0</v>
      </c>
      <c r="AK53" s="35">
        <f t="shared" si="111"/>
        <v>0</v>
      </c>
      <c r="AL53" s="346">
        <f t="shared" si="111"/>
        <v>3180613</v>
      </c>
      <c r="AM53" s="343">
        <f t="shared" si="111"/>
        <v>2359505</v>
      </c>
      <c r="AN53" s="343">
        <f t="shared" si="111"/>
        <v>0</v>
      </c>
      <c r="AO53" s="343">
        <f t="shared" si="111"/>
        <v>797513</v>
      </c>
      <c r="AP53" s="343">
        <f t="shared" si="111"/>
        <v>23595</v>
      </c>
      <c r="AQ53" s="343">
        <f t="shared" si="111"/>
        <v>0</v>
      </c>
      <c r="AR53" s="344">
        <f t="shared" si="111"/>
        <v>3.9</v>
      </c>
    </row>
    <row r="54" spans="1:44" x14ac:dyDescent="0.2">
      <c r="A54" s="136">
        <v>13</v>
      </c>
      <c r="B54" s="137">
        <v>3443</v>
      </c>
      <c r="C54" s="137">
        <v>600078582</v>
      </c>
      <c r="D54" s="137">
        <v>16389581</v>
      </c>
      <c r="E54" s="135" t="s">
        <v>138</v>
      </c>
      <c r="F54" s="137">
        <v>3113</v>
      </c>
      <c r="G54" s="138" t="s">
        <v>280</v>
      </c>
      <c r="H54" s="563" t="s">
        <v>262</v>
      </c>
      <c r="I54" s="586">
        <f>SUM(J54:L54)</f>
        <v>12705490</v>
      </c>
      <c r="J54" s="490">
        <v>9425438</v>
      </c>
      <c r="K54" s="55">
        <f t="shared" ref="K54:K56" si="112">ROUND(J54*33.8%,0)</f>
        <v>3185798</v>
      </c>
      <c r="L54" s="55">
        <f t="shared" ref="L54:L56" si="113">ROUND(J54*1%,0)</f>
        <v>94254</v>
      </c>
      <c r="M54" s="55">
        <v>0</v>
      </c>
      <c r="N54" s="631">
        <v>13.05</v>
      </c>
      <c r="O54" s="445">
        <f>V54*-1</f>
        <v>-18000</v>
      </c>
      <c r="P54" s="325">
        <v>0</v>
      </c>
      <c r="Q54" s="325">
        <v>0</v>
      </c>
      <c r="R54" s="325">
        <v>0</v>
      </c>
      <c r="S54" s="325">
        <v>0</v>
      </c>
      <c r="T54" s="325">
        <v>0</v>
      </c>
      <c r="U54" s="492">
        <f t="shared" ref="U54:U56" si="114">O54+P54+Q54+R54+S54+T54</f>
        <v>-18000</v>
      </c>
      <c r="V54" s="325">
        <v>18000</v>
      </c>
      <c r="W54" s="325">
        <v>0</v>
      </c>
      <c r="X54" s="325">
        <v>0</v>
      </c>
      <c r="Y54" s="492">
        <f t="shared" ref="Y54:Y56" si="115">V54+W54+X54</f>
        <v>18000</v>
      </c>
      <c r="Z54" s="492">
        <f t="shared" ref="Z54:Z56" si="116">U54+Y54</f>
        <v>0</v>
      </c>
      <c r="AA54" s="494">
        <f t="shared" ref="AA54:AA56" si="117">ROUND((U54+Y54)*33.8%,0)</f>
        <v>0</v>
      </c>
      <c r="AB54" s="494">
        <f t="shared" ref="AB54:AB56" si="118">ROUND(U54*1%,0)</f>
        <v>-180</v>
      </c>
      <c r="AC54" s="492">
        <v>0</v>
      </c>
      <c r="AD54" s="492">
        <f t="shared" ref="AD54:AD56" si="119">Z54+AA54+AB54+AC54</f>
        <v>-180</v>
      </c>
      <c r="AE54" s="326">
        <v>-0.01</v>
      </c>
      <c r="AF54" s="326">
        <v>0</v>
      </c>
      <c r="AG54" s="326">
        <v>0</v>
      </c>
      <c r="AH54" s="326">
        <v>0</v>
      </c>
      <c r="AI54" s="326">
        <v>0</v>
      </c>
      <c r="AJ54" s="326">
        <v>0</v>
      </c>
      <c r="AK54" s="491">
        <f t="shared" ref="AK54:AK56" si="120">SUM(AE54:AJ54)</f>
        <v>-0.01</v>
      </c>
      <c r="AL54" s="492">
        <f>I54+AD54</f>
        <v>12705310</v>
      </c>
      <c r="AM54" s="492">
        <f>J54+U54</f>
        <v>9407438</v>
      </c>
      <c r="AN54" s="492">
        <f t="shared" ref="AN54:AN56" si="121">Y54</f>
        <v>18000</v>
      </c>
      <c r="AO54" s="492">
        <f t="shared" ref="AO54:AQ56" si="122">K54+AA54</f>
        <v>3185798</v>
      </c>
      <c r="AP54" s="492">
        <f t="shared" si="122"/>
        <v>94074</v>
      </c>
      <c r="AQ54" s="492">
        <f t="shared" si="122"/>
        <v>0</v>
      </c>
      <c r="AR54" s="491">
        <f t="shared" ref="AR54:AR56" si="123">N54+AK54</f>
        <v>13.040000000000001</v>
      </c>
    </row>
    <row r="55" spans="1:44" x14ac:dyDescent="0.2">
      <c r="A55" s="136">
        <v>13</v>
      </c>
      <c r="B55" s="137">
        <v>3443</v>
      </c>
      <c r="C55" s="137">
        <v>600078582</v>
      </c>
      <c r="D55" s="137">
        <v>16389581</v>
      </c>
      <c r="E55" s="135" t="s">
        <v>138</v>
      </c>
      <c r="F55" s="137">
        <v>3113</v>
      </c>
      <c r="G55" s="138" t="s">
        <v>278</v>
      </c>
      <c r="H55" s="563" t="s">
        <v>263</v>
      </c>
      <c r="I55" s="586">
        <f>SUM(J55:L55)</f>
        <v>0</v>
      </c>
      <c r="J55" s="490"/>
      <c r="K55" s="55">
        <f t="shared" si="112"/>
        <v>0</v>
      </c>
      <c r="L55" s="55">
        <f t="shared" si="113"/>
        <v>0</v>
      </c>
      <c r="M55" s="55">
        <v>0</v>
      </c>
      <c r="N55" s="631">
        <v>0</v>
      </c>
      <c r="O55" s="440">
        <f>V55*-1</f>
        <v>0</v>
      </c>
      <c r="P55" s="325">
        <v>1316246</v>
      </c>
      <c r="Q55" s="325">
        <v>0</v>
      </c>
      <c r="R55" s="325">
        <v>0</v>
      </c>
      <c r="S55" s="325">
        <v>0</v>
      </c>
      <c r="T55" s="325">
        <v>0</v>
      </c>
      <c r="U55" s="492">
        <f t="shared" si="114"/>
        <v>1316246</v>
      </c>
      <c r="V55" s="325">
        <v>0</v>
      </c>
      <c r="W55" s="325">
        <v>0</v>
      </c>
      <c r="X55" s="325">
        <v>0</v>
      </c>
      <c r="Y55" s="492">
        <f t="shared" si="115"/>
        <v>0</v>
      </c>
      <c r="Z55" s="492">
        <f t="shared" si="116"/>
        <v>1316246</v>
      </c>
      <c r="AA55" s="494">
        <f t="shared" si="117"/>
        <v>444891</v>
      </c>
      <c r="AB55" s="494">
        <f t="shared" si="118"/>
        <v>13162</v>
      </c>
      <c r="AC55" s="492">
        <v>0</v>
      </c>
      <c r="AD55" s="492">
        <f t="shared" si="119"/>
        <v>1774299</v>
      </c>
      <c r="AE55" s="326">
        <v>0</v>
      </c>
      <c r="AF55" s="326">
        <v>3.3</v>
      </c>
      <c r="AG55" s="326">
        <v>0</v>
      </c>
      <c r="AH55" s="326">
        <v>0</v>
      </c>
      <c r="AI55" s="326">
        <v>0</v>
      </c>
      <c r="AJ55" s="326">
        <v>0</v>
      </c>
      <c r="AK55" s="491">
        <f t="shared" si="120"/>
        <v>3.3</v>
      </c>
      <c r="AL55" s="492">
        <f>I55+AD55</f>
        <v>1774299</v>
      </c>
      <c r="AM55" s="492">
        <f>J55+U55</f>
        <v>1316246</v>
      </c>
      <c r="AN55" s="492">
        <f t="shared" si="121"/>
        <v>0</v>
      </c>
      <c r="AO55" s="492">
        <f t="shared" si="122"/>
        <v>444891</v>
      </c>
      <c r="AP55" s="492">
        <f t="shared" si="122"/>
        <v>13162</v>
      </c>
      <c r="AQ55" s="492">
        <f t="shared" si="122"/>
        <v>0</v>
      </c>
      <c r="AR55" s="491">
        <f t="shared" si="123"/>
        <v>3.3</v>
      </c>
    </row>
    <row r="56" spans="1:44" x14ac:dyDescent="0.2">
      <c r="A56" s="136">
        <v>13</v>
      </c>
      <c r="B56" s="137">
        <v>3443</v>
      </c>
      <c r="C56" s="137">
        <v>600078582</v>
      </c>
      <c r="D56" s="137">
        <v>16389581</v>
      </c>
      <c r="E56" s="135" t="s">
        <v>138</v>
      </c>
      <c r="F56" s="137">
        <v>3143</v>
      </c>
      <c r="G56" s="138" t="s">
        <v>794</v>
      </c>
      <c r="H56" s="157" t="s">
        <v>262</v>
      </c>
      <c r="I56" s="586">
        <f>SUM(J56:L56)</f>
        <v>926088</v>
      </c>
      <c r="J56" s="490">
        <v>687009</v>
      </c>
      <c r="K56" s="55">
        <f t="shared" si="112"/>
        <v>232209</v>
      </c>
      <c r="L56" s="55">
        <f t="shared" si="113"/>
        <v>6870</v>
      </c>
      <c r="M56" s="55">
        <v>0</v>
      </c>
      <c r="N56" s="631">
        <v>1.5</v>
      </c>
      <c r="O56" s="440">
        <f>V56*-1</f>
        <v>-18000</v>
      </c>
      <c r="P56" s="325">
        <v>0</v>
      </c>
      <c r="Q56" s="325">
        <v>0</v>
      </c>
      <c r="R56" s="325">
        <v>0</v>
      </c>
      <c r="S56" s="325">
        <v>0</v>
      </c>
      <c r="T56" s="325">
        <v>0</v>
      </c>
      <c r="U56" s="492">
        <f t="shared" si="114"/>
        <v>-18000</v>
      </c>
      <c r="V56" s="325">
        <v>18000</v>
      </c>
      <c r="W56" s="325">
        <v>0</v>
      </c>
      <c r="X56" s="325">
        <v>0</v>
      </c>
      <c r="Y56" s="492">
        <f t="shared" si="115"/>
        <v>18000</v>
      </c>
      <c r="Z56" s="492">
        <f t="shared" si="116"/>
        <v>0</v>
      </c>
      <c r="AA56" s="494">
        <f t="shared" si="117"/>
        <v>0</v>
      </c>
      <c r="AB56" s="494">
        <f t="shared" si="118"/>
        <v>-180</v>
      </c>
      <c r="AC56" s="492">
        <v>0</v>
      </c>
      <c r="AD56" s="492">
        <f t="shared" si="119"/>
        <v>-180</v>
      </c>
      <c r="AE56" s="326">
        <v>-0.02</v>
      </c>
      <c r="AF56" s="326">
        <v>0</v>
      </c>
      <c r="AG56" s="326">
        <v>0</v>
      </c>
      <c r="AH56" s="326">
        <v>0</v>
      </c>
      <c r="AI56" s="326">
        <v>0</v>
      </c>
      <c r="AJ56" s="326">
        <v>0</v>
      </c>
      <c r="AK56" s="491">
        <f t="shared" si="120"/>
        <v>-0.02</v>
      </c>
      <c r="AL56" s="492">
        <f>I56+AD56</f>
        <v>925908</v>
      </c>
      <c r="AM56" s="492">
        <f>J56+U56</f>
        <v>669009</v>
      </c>
      <c r="AN56" s="492">
        <f t="shared" si="121"/>
        <v>18000</v>
      </c>
      <c r="AO56" s="492">
        <f t="shared" si="122"/>
        <v>232209</v>
      </c>
      <c r="AP56" s="492">
        <f t="shared" si="122"/>
        <v>6690</v>
      </c>
      <c r="AQ56" s="492">
        <f t="shared" si="122"/>
        <v>0</v>
      </c>
      <c r="AR56" s="491">
        <f t="shared" si="123"/>
        <v>1.48</v>
      </c>
    </row>
    <row r="57" spans="1:44" ht="13.5" thickBot="1" x14ac:dyDescent="0.25">
      <c r="A57" s="111">
        <v>13</v>
      </c>
      <c r="B57" s="30">
        <v>3443</v>
      </c>
      <c r="C57" s="30">
        <v>600078582</v>
      </c>
      <c r="D57" s="30">
        <v>16389581</v>
      </c>
      <c r="E57" s="165" t="s">
        <v>139</v>
      </c>
      <c r="F57" s="30"/>
      <c r="G57" s="112"/>
      <c r="H57" s="561"/>
      <c r="I57" s="807">
        <f t="shared" ref="I57:AR57" si="124">SUM(I54:I56)</f>
        <v>13631578</v>
      </c>
      <c r="J57" s="449">
        <f t="shared" si="124"/>
        <v>10112447</v>
      </c>
      <c r="K57" s="449">
        <f t="shared" si="124"/>
        <v>3418007</v>
      </c>
      <c r="L57" s="449">
        <f t="shared" si="124"/>
        <v>101124</v>
      </c>
      <c r="M57" s="449">
        <f t="shared" si="124"/>
        <v>0</v>
      </c>
      <c r="N57" s="808">
        <f t="shared" si="124"/>
        <v>14.55</v>
      </c>
      <c r="O57" s="448">
        <f t="shared" si="124"/>
        <v>-36000</v>
      </c>
      <c r="P57" s="449">
        <f t="shared" si="124"/>
        <v>1316246</v>
      </c>
      <c r="Q57" s="449">
        <f t="shared" si="124"/>
        <v>0</v>
      </c>
      <c r="R57" s="449">
        <f t="shared" si="124"/>
        <v>0</v>
      </c>
      <c r="S57" s="449">
        <f t="shared" si="124"/>
        <v>0</v>
      </c>
      <c r="T57" s="449">
        <f t="shared" si="124"/>
        <v>0</v>
      </c>
      <c r="U57" s="449">
        <f t="shared" si="124"/>
        <v>1280246</v>
      </c>
      <c r="V57" s="455">
        <f t="shared" si="124"/>
        <v>36000</v>
      </c>
      <c r="W57" s="455">
        <f t="shared" si="124"/>
        <v>0</v>
      </c>
      <c r="X57" s="455">
        <f t="shared" si="124"/>
        <v>0</v>
      </c>
      <c r="Y57" s="455">
        <f t="shared" si="124"/>
        <v>36000</v>
      </c>
      <c r="Z57" s="455">
        <f t="shared" si="124"/>
        <v>1316246</v>
      </c>
      <c r="AA57" s="455">
        <f t="shared" si="124"/>
        <v>444891</v>
      </c>
      <c r="AB57" s="455">
        <f t="shared" si="124"/>
        <v>12802</v>
      </c>
      <c r="AC57" s="455">
        <f t="shared" si="124"/>
        <v>0</v>
      </c>
      <c r="AD57" s="455">
        <f t="shared" si="124"/>
        <v>1773939</v>
      </c>
      <c r="AE57" s="457">
        <f t="shared" si="124"/>
        <v>-0.03</v>
      </c>
      <c r="AF57" s="457">
        <f t="shared" si="124"/>
        <v>3.3</v>
      </c>
      <c r="AG57" s="457">
        <f t="shared" si="124"/>
        <v>0</v>
      </c>
      <c r="AH57" s="457">
        <f t="shared" si="124"/>
        <v>0</v>
      </c>
      <c r="AI57" s="457">
        <f t="shared" si="124"/>
        <v>0</v>
      </c>
      <c r="AJ57" s="457">
        <f t="shared" si="124"/>
        <v>0</v>
      </c>
      <c r="AK57" s="458">
        <f t="shared" si="124"/>
        <v>3.27</v>
      </c>
      <c r="AL57" s="448">
        <f t="shared" si="124"/>
        <v>15405517</v>
      </c>
      <c r="AM57" s="449">
        <f t="shared" si="124"/>
        <v>11392693</v>
      </c>
      <c r="AN57" s="449">
        <f t="shared" si="124"/>
        <v>36000</v>
      </c>
      <c r="AO57" s="449">
        <f t="shared" si="124"/>
        <v>3862898</v>
      </c>
      <c r="AP57" s="449">
        <f t="shared" si="124"/>
        <v>113926</v>
      </c>
      <c r="AQ57" s="449">
        <f t="shared" si="124"/>
        <v>0</v>
      </c>
      <c r="AR57" s="450">
        <f t="shared" si="124"/>
        <v>17.82</v>
      </c>
    </row>
    <row r="58" spans="1:44" ht="13.5" thickBot="1" x14ac:dyDescent="0.25">
      <c r="A58" s="113"/>
      <c r="B58" s="27"/>
      <c r="C58" s="27"/>
      <c r="D58" s="27"/>
      <c r="E58" s="57" t="s">
        <v>728</v>
      </c>
      <c r="F58" s="27"/>
      <c r="G58" s="114"/>
      <c r="H58" s="603"/>
      <c r="I58" s="349">
        <f>I14+I17+I20+I22+I27+I32+I34+I39+I42+I46+I51+I53+I57</f>
        <v>127318046</v>
      </c>
      <c r="J58" s="612">
        <f t="shared" ref="J58:M58" si="125">J14+J17+J20+J22+J27+J32+J34+J39+J42+J46+J51+J53+J57</f>
        <v>94449589</v>
      </c>
      <c r="K58" s="612">
        <f t="shared" si="125"/>
        <v>31923961</v>
      </c>
      <c r="L58" s="612">
        <f t="shared" si="125"/>
        <v>944496</v>
      </c>
      <c r="M58" s="612">
        <f t="shared" si="125"/>
        <v>0</v>
      </c>
      <c r="N58" s="613">
        <f>N14+N17+N20+N22+N27+N32+N34+N39+N42+N46+N51+N53+N57</f>
        <v>141.25</v>
      </c>
      <c r="O58" s="350">
        <f>O14+O17+O20+O22+O27+O32+O34+O39+O42+O46+O51+O53+O57</f>
        <v>-324084</v>
      </c>
      <c r="P58" s="350">
        <f>P14+P17+P20+P22+P27+P32+P34+P39+P42+P46+P51+P53+P57</f>
        <v>9766818</v>
      </c>
      <c r="Q58" s="350">
        <f t="shared" ref="Q58:AD58" si="126">Q14+Q17+Q20+Q22+Q27+Q32+Q34+Q39+Q42+Q46+Q51+Q53+Q57</f>
        <v>80620</v>
      </c>
      <c r="R58" s="350">
        <f t="shared" si="126"/>
        <v>0</v>
      </c>
      <c r="S58" s="350">
        <f t="shared" si="126"/>
        <v>0</v>
      </c>
      <c r="T58" s="350">
        <f t="shared" si="126"/>
        <v>0</v>
      </c>
      <c r="U58" s="350">
        <f t="shared" si="126"/>
        <v>9523354</v>
      </c>
      <c r="V58" s="350">
        <f t="shared" si="126"/>
        <v>324084</v>
      </c>
      <c r="W58" s="350">
        <f t="shared" si="126"/>
        <v>0</v>
      </c>
      <c r="X58" s="350">
        <f t="shared" si="126"/>
        <v>0</v>
      </c>
      <c r="Y58" s="350">
        <f t="shared" si="126"/>
        <v>324084</v>
      </c>
      <c r="Z58" s="350">
        <f t="shared" si="126"/>
        <v>9847438</v>
      </c>
      <c r="AA58" s="350">
        <f t="shared" si="126"/>
        <v>3328435</v>
      </c>
      <c r="AB58" s="350">
        <f t="shared" si="126"/>
        <v>95233</v>
      </c>
      <c r="AC58" s="350">
        <f t="shared" si="126"/>
        <v>0</v>
      </c>
      <c r="AD58" s="350">
        <f t="shared" si="126"/>
        <v>13271106</v>
      </c>
      <c r="AE58" s="453">
        <f>AE14+AE17+AE20+AE22+AE27+AE32+AE34+AE39+AE42+AE46+AE51+AE53+AE57</f>
        <v>-0.32000000000000006</v>
      </c>
      <c r="AF58" s="453">
        <f t="shared" ref="AF58:AK58" si="127">AF14+AF17+AF20+AF22+AF27+AF32+AF34+AF39+AF42+AF46+AF51+AF53+AF57</f>
        <v>24.38</v>
      </c>
      <c r="AG58" s="453">
        <f t="shared" si="127"/>
        <v>0</v>
      </c>
      <c r="AH58" s="453">
        <f t="shared" si="127"/>
        <v>0.11</v>
      </c>
      <c r="AI58" s="453">
        <f t="shared" si="127"/>
        <v>0</v>
      </c>
      <c r="AJ58" s="453">
        <f t="shared" si="127"/>
        <v>0</v>
      </c>
      <c r="AK58" s="453">
        <f t="shared" si="127"/>
        <v>24.169999999999998</v>
      </c>
      <c r="AL58" s="349">
        <f>AL14+AL17+AL20+AL22+AL27+AL32+AL34+AL39+AL42+AL46+AL51+AL53+AL57</f>
        <v>140589152</v>
      </c>
      <c r="AM58" s="350">
        <f>AM14+AM17+AM20+AM22+AM27+AM32+AM34+AM39+AM42+AM46+AM51+AM53+AM57</f>
        <v>103972943</v>
      </c>
      <c r="AN58" s="350">
        <f t="shared" ref="AN58:AQ58" si="128">AN14+AN17+AN20+AN22+AN27+AN32+AN34+AN39+AN42+AN46+AN51+AN53+AN57</f>
        <v>324084</v>
      </c>
      <c r="AO58" s="350">
        <f t="shared" si="128"/>
        <v>35252396</v>
      </c>
      <c r="AP58" s="350">
        <f t="shared" si="128"/>
        <v>1039729</v>
      </c>
      <c r="AQ58" s="350">
        <f t="shared" si="128"/>
        <v>0</v>
      </c>
      <c r="AR58" s="418">
        <f>AR14+AR17+AR20+AR22+AR27+AR32+AR34+AR39+AR42+AR46+AR51+AR53+AR57</f>
        <v>165.42</v>
      </c>
    </row>
    <row r="59" spans="1:44" x14ac:dyDescent="0.2">
      <c r="D59" s="8"/>
      <c r="E59" s="4"/>
      <c r="F59" s="8"/>
      <c r="G59" s="17"/>
      <c r="H59" s="4"/>
      <c r="I59" s="328">
        <f>SUM(J58:M58)</f>
        <v>127318046</v>
      </c>
      <c r="J59" s="328"/>
      <c r="K59" s="328"/>
      <c r="L59" s="328"/>
      <c r="M59" s="328"/>
      <c r="N59" s="742"/>
      <c r="O59" s="328">
        <f>V58</f>
        <v>324084</v>
      </c>
      <c r="P59" s="329"/>
      <c r="Q59" s="329"/>
      <c r="R59" s="329"/>
      <c r="S59" s="328"/>
      <c r="T59" s="329"/>
      <c r="U59" s="330">
        <f>SUM(O58:T58)</f>
        <v>9523354</v>
      </c>
      <c r="V59" s="330">
        <f>O58</f>
        <v>-324084</v>
      </c>
      <c r="W59" s="331"/>
      <c r="X59" s="331"/>
      <c r="Y59" s="330">
        <f>SUM(V58:X58)</f>
        <v>324084</v>
      </c>
      <c r="Z59" s="330">
        <f>U58+Y58</f>
        <v>9847438</v>
      </c>
      <c r="AA59" s="332"/>
      <c r="AB59" s="332"/>
      <c r="AC59" s="330"/>
      <c r="AD59" s="330">
        <f>SUM(Z58:AC58)</f>
        <v>13271106</v>
      </c>
      <c r="AE59" s="333"/>
      <c r="AF59" s="333"/>
      <c r="AG59" s="333"/>
      <c r="AH59" s="333"/>
      <c r="AI59" s="381"/>
      <c r="AJ59" s="333"/>
      <c r="AK59" s="381">
        <f>SUM(AE58:AJ58)</f>
        <v>24.169999999999998</v>
      </c>
      <c r="AL59" s="328">
        <f>SUM(AM58:AQ58)</f>
        <v>140589152</v>
      </c>
      <c r="AM59" s="328"/>
      <c r="AN59" s="58"/>
      <c r="AO59" s="330"/>
      <c r="AP59" s="330"/>
      <c r="AQ59" s="330"/>
      <c r="AR59" s="329"/>
    </row>
    <row r="60" spans="1:44" ht="13.5" thickBot="1" x14ac:dyDescent="0.25">
      <c r="D60" s="8"/>
      <c r="E60" s="4"/>
      <c r="F60" s="8"/>
      <c r="G60" s="17"/>
      <c r="H60" s="4"/>
      <c r="I60" s="328">
        <f>SUM(J61:M61)</f>
        <v>127318046</v>
      </c>
      <c r="J60" s="328"/>
      <c r="K60" s="328"/>
      <c r="L60" s="328"/>
      <c r="M60" s="328"/>
      <c r="N60" s="742"/>
      <c r="O60" s="328">
        <f>V61</f>
        <v>324084</v>
      </c>
      <c r="P60" s="329"/>
      <c r="Q60" s="329"/>
      <c r="R60" s="329"/>
      <c r="S60" s="328"/>
      <c r="T60" s="329"/>
      <c r="U60" s="330">
        <f>SUM(O61:T61)</f>
        <v>9523354</v>
      </c>
      <c r="V60" s="330"/>
      <c r="W60" s="331"/>
      <c r="X60" s="331"/>
      <c r="Y60" s="330">
        <f>SUM(V61:X61)</f>
        <v>324084</v>
      </c>
      <c r="Z60" s="330">
        <f>U61+Y61</f>
        <v>9847438</v>
      </c>
      <c r="AA60" s="332"/>
      <c r="AB60" s="332"/>
      <c r="AC60" s="330"/>
      <c r="AD60" s="330">
        <f>SUM(Z61:AC61)</f>
        <v>13271106</v>
      </c>
      <c r="AE60" s="333"/>
      <c r="AF60" s="333"/>
      <c r="AG60" s="333"/>
      <c r="AH60" s="333"/>
      <c r="AI60" s="381"/>
      <c r="AJ60" s="333"/>
      <c r="AK60" s="381">
        <f>SUM(AE61:AJ61)</f>
        <v>24.169999999999998</v>
      </c>
      <c r="AL60" s="328">
        <f>AM61+AN61+AO61+AP61</f>
        <v>140589152</v>
      </c>
      <c r="AM60" s="328"/>
      <c r="AN60" s="58"/>
      <c r="AO60" s="48"/>
      <c r="AP60" s="48"/>
      <c r="AQ60" s="48"/>
      <c r="AR60" s="329"/>
    </row>
    <row r="61" spans="1:44" ht="13.5" thickBot="1" x14ac:dyDescent="0.25">
      <c r="D61" s="8"/>
      <c r="E61" s="4"/>
      <c r="F61" s="8"/>
      <c r="G61" s="17"/>
      <c r="H61" s="360" t="s">
        <v>0</v>
      </c>
      <c r="I61" s="96">
        <f t="shared" ref="I61:AR61" si="129">SUM(I62:I71)</f>
        <v>127318046</v>
      </c>
      <c r="J61" s="31">
        <f t="shared" si="129"/>
        <v>94449589</v>
      </c>
      <c r="K61" s="31">
        <f t="shared" si="129"/>
        <v>31923961</v>
      </c>
      <c r="L61" s="31">
        <f t="shared" si="129"/>
        <v>944496</v>
      </c>
      <c r="M61" s="31">
        <f t="shared" ref="M61" si="130">SUM(M62:M71)</f>
        <v>0</v>
      </c>
      <c r="N61" s="647">
        <f t="shared" si="129"/>
        <v>141.25</v>
      </c>
      <c r="O61" s="101">
        <f t="shared" si="129"/>
        <v>-324084</v>
      </c>
      <c r="P61" s="31">
        <f t="shared" si="129"/>
        <v>9766818</v>
      </c>
      <c r="Q61" s="31">
        <f t="shared" si="129"/>
        <v>80620</v>
      </c>
      <c r="R61" s="31">
        <f t="shared" si="129"/>
        <v>0</v>
      </c>
      <c r="S61" s="31">
        <f t="shared" si="129"/>
        <v>0</v>
      </c>
      <c r="T61" s="31">
        <f t="shared" si="129"/>
        <v>0</v>
      </c>
      <c r="U61" s="31">
        <f t="shared" si="129"/>
        <v>9523354</v>
      </c>
      <c r="V61" s="31">
        <f t="shared" si="129"/>
        <v>324084</v>
      </c>
      <c r="W61" s="31">
        <f t="shared" si="129"/>
        <v>0</v>
      </c>
      <c r="X61" s="31">
        <f t="shared" si="129"/>
        <v>0</v>
      </c>
      <c r="Y61" s="31">
        <f t="shared" si="129"/>
        <v>324084</v>
      </c>
      <c r="Z61" s="31">
        <f t="shared" si="129"/>
        <v>9847438</v>
      </c>
      <c r="AA61" s="31">
        <f t="shared" si="129"/>
        <v>3328435</v>
      </c>
      <c r="AB61" s="31">
        <f t="shared" si="129"/>
        <v>95233</v>
      </c>
      <c r="AC61" s="31">
        <f t="shared" si="129"/>
        <v>0</v>
      </c>
      <c r="AD61" s="31">
        <f t="shared" si="129"/>
        <v>13271106</v>
      </c>
      <c r="AE61" s="32">
        <f t="shared" si="129"/>
        <v>-0.32</v>
      </c>
      <c r="AF61" s="32">
        <f t="shared" si="129"/>
        <v>24.38</v>
      </c>
      <c r="AG61" s="32">
        <f t="shared" si="129"/>
        <v>0</v>
      </c>
      <c r="AH61" s="32">
        <f t="shared" si="129"/>
        <v>0.11</v>
      </c>
      <c r="AI61" s="32">
        <f t="shared" si="129"/>
        <v>0</v>
      </c>
      <c r="AJ61" s="32">
        <f t="shared" si="129"/>
        <v>0</v>
      </c>
      <c r="AK61" s="100">
        <f t="shared" si="129"/>
        <v>24.17</v>
      </c>
      <c r="AL61" s="96">
        <f t="shared" si="129"/>
        <v>140589152</v>
      </c>
      <c r="AM61" s="31">
        <f t="shared" si="129"/>
        <v>103972943</v>
      </c>
      <c r="AN61" s="31">
        <f t="shared" si="129"/>
        <v>324084</v>
      </c>
      <c r="AO61" s="31">
        <f t="shared" si="129"/>
        <v>35252396</v>
      </c>
      <c r="AP61" s="31">
        <f t="shared" si="129"/>
        <v>1039729</v>
      </c>
      <c r="AQ61" s="31">
        <f t="shared" si="129"/>
        <v>0</v>
      </c>
      <c r="AR61" s="32">
        <f t="shared" si="129"/>
        <v>165.42000000000004</v>
      </c>
    </row>
    <row r="62" spans="1:44" x14ac:dyDescent="0.2">
      <c r="D62" s="8"/>
      <c r="E62" s="4"/>
      <c r="F62" s="8"/>
      <c r="G62" s="17"/>
      <c r="H62" s="359">
        <v>3111</v>
      </c>
      <c r="I62" s="370">
        <f t="shared" ref="I62" si="131">SUMIF($F$12:$F$366,"=3111",I$12:I$366)</f>
        <v>26015787</v>
      </c>
      <c r="J62" s="371">
        <f t="shared" ref="J62:AR62" si="132">SUMIF($F$12:$F$447,"=3111",J$12:J$447)</f>
        <v>19299545</v>
      </c>
      <c r="K62" s="371">
        <f t="shared" si="132"/>
        <v>6523246</v>
      </c>
      <c r="L62" s="371">
        <f t="shared" si="132"/>
        <v>192996</v>
      </c>
      <c r="M62" s="371">
        <f t="shared" si="132"/>
        <v>0</v>
      </c>
      <c r="N62" s="649">
        <f t="shared" si="132"/>
        <v>31.909999999999997</v>
      </c>
      <c r="O62" s="372">
        <f t="shared" si="132"/>
        <v>-45000</v>
      </c>
      <c r="P62" s="371">
        <f t="shared" si="132"/>
        <v>2083448</v>
      </c>
      <c r="Q62" s="371">
        <f t="shared" si="132"/>
        <v>0</v>
      </c>
      <c r="R62" s="371">
        <f t="shared" si="132"/>
        <v>0</v>
      </c>
      <c r="S62" s="371">
        <f t="shared" si="132"/>
        <v>0</v>
      </c>
      <c r="T62" s="371">
        <f t="shared" si="132"/>
        <v>0</v>
      </c>
      <c r="U62" s="371">
        <f t="shared" si="132"/>
        <v>2038448</v>
      </c>
      <c r="V62" s="371">
        <f t="shared" si="132"/>
        <v>45000</v>
      </c>
      <c r="W62" s="371">
        <f t="shared" si="132"/>
        <v>0</v>
      </c>
      <c r="X62" s="371">
        <f t="shared" si="132"/>
        <v>0</v>
      </c>
      <c r="Y62" s="371">
        <f t="shared" si="132"/>
        <v>45000</v>
      </c>
      <c r="Z62" s="371">
        <f t="shared" si="132"/>
        <v>2083448</v>
      </c>
      <c r="AA62" s="371">
        <f t="shared" si="132"/>
        <v>704206</v>
      </c>
      <c r="AB62" s="371">
        <f t="shared" si="132"/>
        <v>20384</v>
      </c>
      <c r="AC62" s="371">
        <f t="shared" si="132"/>
        <v>0</v>
      </c>
      <c r="AD62" s="371">
        <f t="shared" si="132"/>
        <v>2808038</v>
      </c>
      <c r="AE62" s="373">
        <f t="shared" si="132"/>
        <v>-0.01</v>
      </c>
      <c r="AF62" s="373">
        <f t="shared" si="132"/>
        <v>5.25</v>
      </c>
      <c r="AG62" s="373">
        <f t="shared" si="132"/>
        <v>0</v>
      </c>
      <c r="AH62" s="373">
        <f t="shared" si="132"/>
        <v>0</v>
      </c>
      <c r="AI62" s="373">
        <f t="shared" si="132"/>
        <v>0</v>
      </c>
      <c r="AJ62" s="373">
        <f t="shared" si="132"/>
        <v>0</v>
      </c>
      <c r="AK62" s="374">
        <f t="shared" si="132"/>
        <v>5.24</v>
      </c>
      <c r="AL62" s="370">
        <f t="shared" si="132"/>
        <v>28823825</v>
      </c>
      <c r="AM62" s="371">
        <f t="shared" si="132"/>
        <v>21337993</v>
      </c>
      <c r="AN62" s="371">
        <f t="shared" si="132"/>
        <v>45000</v>
      </c>
      <c r="AO62" s="371">
        <f t="shared" si="132"/>
        <v>7227452</v>
      </c>
      <c r="AP62" s="371">
        <f t="shared" si="132"/>
        <v>213380</v>
      </c>
      <c r="AQ62" s="371">
        <f t="shared" si="132"/>
        <v>0</v>
      </c>
      <c r="AR62" s="373">
        <f t="shared" si="132"/>
        <v>37.15</v>
      </c>
    </row>
    <row r="63" spans="1:44" x14ac:dyDescent="0.2">
      <c r="D63" s="8"/>
      <c r="E63" s="4"/>
      <c r="F63" s="8"/>
      <c r="G63" s="17"/>
      <c r="H63" s="16">
        <v>3113</v>
      </c>
      <c r="I63" s="370">
        <f t="shared" ref="I63" si="133">SUMIF($F$12:$F$366,"=3113",I$12:I$366)</f>
        <v>71338003</v>
      </c>
      <c r="J63" s="14">
        <f t="shared" ref="J63:AR63" si="134">SUMIF($F$12:$F$447,"=3113",J$12:J$447)</f>
        <v>52921368</v>
      </c>
      <c r="K63" s="14">
        <f t="shared" si="134"/>
        <v>17887422</v>
      </c>
      <c r="L63" s="14">
        <f t="shared" si="134"/>
        <v>529213</v>
      </c>
      <c r="M63" s="14">
        <f t="shared" si="134"/>
        <v>0</v>
      </c>
      <c r="N63" s="651">
        <f t="shared" si="134"/>
        <v>72.61</v>
      </c>
      <c r="O63" s="120">
        <f t="shared" si="134"/>
        <v>-21000</v>
      </c>
      <c r="P63" s="14">
        <f t="shared" si="134"/>
        <v>6393615</v>
      </c>
      <c r="Q63" s="14">
        <f t="shared" si="134"/>
        <v>80620</v>
      </c>
      <c r="R63" s="14">
        <f t="shared" si="134"/>
        <v>0</v>
      </c>
      <c r="S63" s="14">
        <f t="shared" si="134"/>
        <v>0</v>
      </c>
      <c r="T63" s="14">
        <f t="shared" si="134"/>
        <v>0</v>
      </c>
      <c r="U63" s="14">
        <f t="shared" si="134"/>
        <v>6453235</v>
      </c>
      <c r="V63" s="14">
        <f t="shared" si="134"/>
        <v>21000</v>
      </c>
      <c r="W63" s="14">
        <f t="shared" si="134"/>
        <v>0</v>
      </c>
      <c r="X63" s="14">
        <f t="shared" si="134"/>
        <v>0</v>
      </c>
      <c r="Y63" s="14">
        <f t="shared" si="134"/>
        <v>21000</v>
      </c>
      <c r="Z63" s="14">
        <f t="shared" si="134"/>
        <v>6474235</v>
      </c>
      <c r="AA63" s="14">
        <f t="shared" si="134"/>
        <v>2188292</v>
      </c>
      <c r="AB63" s="14">
        <f t="shared" si="134"/>
        <v>64532</v>
      </c>
      <c r="AC63" s="14">
        <f t="shared" si="134"/>
        <v>0</v>
      </c>
      <c r="AD63" s="14">
        <f t="shared" si="134"/>
        <v>8727059</v>
      </c>
      <c r="AE63" s="11">
        <f t="shared" si="134"/>
        <v>-0.01</v>
      </c>
      <c r="AF63" s="11">
        <f t="shared" si="134"/>
        <v>15.879999999999999</v>
      </c>
      <c r="AG63" s="11">
        <f t="shared" si="134"/>
        <v>0</v>
      </c>
      <c r="AH63" s="11">
        <f t="shared" si="134"/>
        <v>0.11</v>
      </c>
      <c r="AI63" s="11">
        <f t="shared" si="134"/>
        <v>0</v>
      </c>
      <c r="AJ63" s="11">
        <f t="shared" si="134"/>
        <v>0</v>
      </c>
      <c r="AK63" s="121">
        <f t="shared" si="134"/>
        <v>15.98</v>
      </c>
      <c r="AL63" s="119">
        <f t="shared" si="134"/>
        <v>80065062</v>
      </c>
      <c r="AM63" s="14">
        <f t="shared" si="134"/>
        <v>59374603</v>
      </c>
      <c r="AN63" s="14">
        <f t="shared" si="134"/>
        <v>21000</v>
      </c>
      <c r="AO63" s="14">
        <f t="shared" si="134"/>
        <v>20075714</v>
      </c>
      <c r="AP63" s="14">
        <f t="shared" si="134"/>
        <v>593745</v>
      </c>
      <c r="AQ63" s="14">
        <f t="shared" si="134"/>
        <v>0</v>
      </c>
      <c r="AR63" s="11">
        <f t="shared" si="134"/>
        <v>88.590000000000018</v>
      </c>
    </row>
    <row r="64" spans="1:44" x14ac:dyDescent="0.2">
      <c r="D64" s="8"/>
      <c r="E64" s="4"/>
      <c r="F64" s="8"/>
      <c r="G64" s="17"/>
      <c r="H64" s="16">
        <v>3114</v>
      </c>
      <c r="I64" s="370">
        <f t="shared" ref="I64" si="135">SUMIF($F$12:$F$366,"=3114",I$12:I$366)</f>
        <v>0</v>
      </c>
      <c r="J64" s="14">
        <f t="shared" ref="J64:AR64" si="136">SUMIF($F$12:$F$447,"=3114",J$12:J$447)</f>
        <v>0</v>
      </c>
      <c r="K64" s="14">
        <f t="shared" si="136"/>
        <v>0</v>
      </c>
      <c r="L64" s="14">
        <f t="shared" si="136"/>
        <v>0</v>
      </c>
      <c r="M64" s="14">
        <f t="shared" si="136"/>
        <v>0</v>
      </c>
      <c r="N64" s="651">
        <f t="shared" si="136"/>
        <v>0</v>
      </c>
      <c r="O64" s="120">
        <f t="shared" si="136"/>
        <v>0</v>
      </c>
      <c r="P64" s="14">
        <f t="shared" si="136"/>
        <v>0</v>
      </c>
      <c r="Q64" s="14">
        <f t="shared" si="136"/>
        <v>0</v>
      </c>
      <c r="R64" s="14">
        <f t="shared" si="136"/>
        <v>0</v>
      </c>
      <c r="S64" s="14">
        <f t="shared" si="136"/>
        <v>0</v>
      </c>
      <c r="T64" s="14">
        <f t="shared" si="136"/>
        <v>0</v>
      </c>
      <c r="U64" s="14">
        <f t="shared" si="136"/>
        <v>0</v>
      </c>
      <c r="V64" s="14">
        <f t="shared" si="136"/>
        <v>0</v>
      </c>
      <c r="W64" s="14">
        <f t="shared" si="136"/>
        <v>0</v>
      </c>
      <c r="X64" s="14">
        <f t="shared" si="136"/>
        <v>0</v>
      </c>
      <c r="Y64" s="14">
        <f t="shared" si="136"/>
        <v>0</v>
      </c>
      <c r="Z64" s="14">
        <f t="shared" si="136"/>
        <v>0</v>
      </c>
      <c r="AA64" s="14">
        <f t="shared" si="136"/>
        <v>0</v>
      </c>
      <c r="AB64" s="14">
        <f t="shared" si="136"/>
        <v>0</v>
      </c>
      <c r="AC64" s="14">
        <f t="shared" si="136"/>
        <v>0</v>
      </c>
      <c r="AD64" s="14">
        <f t="shared" si="136"/>
        <v>0</v>
      </c>
      <c r="AE64" s="11">
        <f t="shared" si="136"/>
        <v>0</v>
      </c>
      <c r="AF64" s="11">
        <f t="shared" si="136"/>
        <v>0</v>
      </c>
      <c r="AG64" s="11">
        <f t="shared" si="136"/>
        <v>0</v>
      </c>
      <c r="AH64" s="11">
        <f t="shared" si="136"/>
        <v>0</v>
      </c>
      <c r="AI64" s="11">
        <f t="shared" si="136"/>
        <v>0</v>
      </c>
      <c r="AJ64" s="11">
        <f t="shared" si="136"/>
        <v>0</v>
      </c>
      <c r="AK64" s="121">
        <f t="shared" si="136"/>
        <v>0</v>
      </c>
      <c r="AL64" s="119">
        <f t="shared" si="136"/>
        <v>0</v>
      </c>
      <c r="AM64" s="14">
        <f t="shared" si="136"/>
        <v>0</v>
      </c>
      <c r="AN64" s="14">
        <f t="shared" si="136"/>
        <v>0</v>
      </c>
      <c r="AO64" s="14">
        <f t="shared" si="136"/>
        <v>0</v>
      </c>
      <c r="AP64" s="14">
        <f t="shared" si="136"/>
        <v>0</v>
      </c>
      <c r="AQ64" s="14">
        <f t="shared" si="136"/>
        <v>0</v>
      </c>
      <c r="AR64" s="11">
        <f t="shared" si="136"/>
        <v>0</v>
      </c>
    </row>
    <row r="65" spans="4:44" x14ac:dyDescent="0.2">
      <c r="D65" s="8"/>
      <c r="E65" s="4"/>
      <c r="F65" s="8"/>
      <c r="G65" s="17"/>
      <c r="H65" s="16">
        <v>3117</v>
      </c>
      <c r="I65" s="370">
        <f t="shared" ref="I65" si="137">SUMIF($F$12:$F$366,"=3117",I$12:I$366)</f>
        <v>7105198</v>
      </c>
      <c r="J65" s="14">
        <f t="shared" ref="J65:AR65" si="138">SUMIF($F$12:$F$447,"=3117",J$12:J$447)</f>
        <v>5270919</v>
      </c>
      <c r="K65" s="14">
        <f t="shared" si="138"/>
        <v>1781571</v>
      </c>
      <c r="L65" s="14">
        <f t="shared" si="138"/>
        <v>52708</v>
      </c>
      <c r="M65" s="14">
        <f t="shared" si="138"/>
        <v>0</v>
      </c>
      <c r="N65" s="651">
        <f t="shared" si="138"/>
        <v>7.75</v>
      </c>
      <c r="O65" s="120">
        <f t="shared" si="138"/>
        <v>-4284</v>
      </c>
      <c r="P65" s="14">
        <f t="shared" si="138"/>
        <v>1289755</v>
      </c>
      <c r="Q65" s="14">
        <f t="shared" si="138"/>
        <v>0</v>
      </c>
      <c r="R65" s="14">
        <f t="shared" si="138"/>
        <v>0</v>
      </c>
      <c r="S65" s="14">
        <f t="shared" si="138"/>
        <v>0</v>
      </c>
      <c r="T65" s="14">
        <f t="shared" si="138"/>
        <v>0</v>
      </c>
      <c r="U65" s="14">
        <f t="shared" si="138"/>
        <v>1285471</v>
      </c>
      <c r="V65" s="14">
        <f t="shared" si="138"/>
        <v>4284</v>
      </c>
      <c r="W65" s="14">
        <f t="shared" si="138"/>
        <v>0</v>
      </c>
      <c r="X65" s="14">
        <f t="shared" si="138"/>
        <v>0</v>
      </c>
      <c r="Y65" s="14">
        <f t="shared" si="138"/>
        <v>4284</v>
      </c>
      <c r="Z65" s="14">
        <f t="shared" si="138"/>
        <v>1289755</v>
      </c>
      <c r="AA65" s="14">
        <f t="shared" si="138"/>
        <v>435937</v>
      </c>
      <c r="AB65" s="14">
        <f t="shared" si="138"/>
        <v>12855</v>
      </c>
      <c r="AC65" s="14">
        <f t="shared" si="138"/>
        <v>0</v>
      </c>
      <c r="AD65" s="14">
        <f t="shared" si="138"/>
        <v>1738547</v>
      </c>
      <c r="AE65" s="11">
        <f t="shared" si="138"/>
        <v>-0.01</v>
      </c>
      <c r="AF65" s="11">
        <f t="shared" si="138"/>
        <v>3.25</v>
      </c>
      <c r="AG65" s="11">
        <f t="shared" si="138"/>
        <v>0</v>
      </c>
      <c r="AH65" s="11">
        <f t="shared" si="138"/>
        <v>0</v>
      </c>
      <c r="AI65" s="11">
        <f t="shared" si="138"/>
        <v>0</v>
      </c>
      <c r="AJ65" s="11">
        <f t="shared" si="138"/>
        <v>0</v>
      </c>
      <c r="AK65" s="121">
        <f t="shared" si="138"/>
        <v>3.24</v>
      </c>
      <c r="AL65" s="119">
        <f t="shared" si="138"/>
        <v>8843745</v>
      </c>
      <c r="AM65" s="14">
        <f t="shared" si="138"/>
        <v>6556390</v>
      </c>
      <c r="AN65" s="14">
        <f t="shared" si="138"/>
        <v>4284</v>
      </c>
      <c r="AO65" s="14">
        <f t="shared" si="138"/>
        <v>2217508</v>
      </c>
      <c r="AP65" s="14">
        <f t="shared" si="138"/>
        <v>65563</v>
      </c>
      <c r="AQ65" s="14">
        <f t="shared" si="138"/>
        <v>0</v>
      </c>
      <c r="AR65" s="11">
        <f t="shared" si="138"/>
        <v>10.99</v>
      </c>
    </row>
    <row r="66" spans="4:44" x14ac:dyDescent="0.2">
      <c r="D66" s="8"/>
      <c r="E66" s="4"/>
      <c r="F66" s="8"/>
      <c r="G66" s="17"/>
      <c r="H66" s="16">
        <v>3122</v>
      </c>
      <c r="I66" s="370">
        <f t="shared" ref="I66" si="139">SUMIF($F$12:$F$366,"=3122",I$12:I$366)</f>
        <v>0</v>
      </c>
      <c r="J66" s="14">
        <f t="shared" ref="J66:AR66" si="140">SUMIF($F$12:$F$447,"=3122",J$12:J$447)</f>
        <v>0</v>
      </c>
      <c r="K66" s="14">
        <f t="shared" si="140"/>
        <v>0</v>
      </c>
      <c r="L66" s="14">
        <f t="shared" si="140"/>
        <v>0</v>
      </c>
      <c r="M66" s="14">
        <f t="shared" si="140"/>
        <v>0</v>
      </c>
      <c r="N66" s="651">
        <f t="shared" si="140"/>
        <v>0</v>
      </c>
      <c r="O66" s="120">
        <f t="shared" si="140"/>
        <v>0</v>
      </c>
      <c r="P66" s="14">
        <f t="shared" si="140"/>
        <v>0</v>
      </c>
      <c r="Q66" s="14">
        <f t="shared" si="140"/>
        <v>0</v>
      </c>
      <c r="R66" s="14">
        <f t="shared" si="140"/>
        <v>0</v>
      </c>
      <c r="S66" s="14">
        <f t="shared" si="140"/>
        <v>0</v>
      </c>
      <c r="T66" s="14">
        <f t="shared" si="140"/>
        <v>0</v>
      </c>
      <c r="U66" s="14">
        <f t="shared" si="140"/>
        <v>0</v>
      </c>
      <c r="V66" s="14">
        <f t="shared" si="140"/>
        <v>0</v>
      </c>
      <c r="W66" s="14">
        <f t="shared" si="140"/>
        <v>0</v>
      </c>
      <c r="X66" s="14">
        <f t="shared" si="140"/>
        <v>0</v>
      </c>
      <c r="Y66" s="14">
        <f t="shared" si="140"/>
        <v>0</v>
      </c>
      <c r="Z66" s="14">
        <f t="shared" si="140"/>
        <v>0</v>
      </c>
      <c r="AA66" s="14">
        <f t="shared" si="140"/>
        <v>0</v>
      </c>
      <c r="AB66" s="14">
        <f t="shared" si="140"/>
        <v>0</v>
      </c>
      <c r="AC66" s="14">
        <f t="shared" si="140"/>
        <v>0</v>
      </c>
      <c r="AD66" s="14">
        <f t="shared" si="140"/>
        <v>0</v>
      </c>
      <c r="AE66" s="11">
        <f t="shared" si="140"/>
        <v>0</v>
      </c>
      <c r="AF66" s="11">
        <f t="shared" si="140"/>
        <v>0</v>
      </c>
      <c r="AG66" s="11">
        <f t="shared" si="140"/>
        <v>0</v>
      </c>
      <c r="AH66" s="11">
        <f t="shared" si="140"/>
        <v>0</v>
      </c>
      <c r="AI66" s="11">
        <f t="shared" si="140"/>
        <v>0</v>
      </c>
      <c r="AJ66" s="11">
        <f t="shared" si="140"/>
        <v>0</v>
      </c>
      <c r="AK66" s="121">
        <f t="shared" si="140"/>
        <v>0</v>
      </c>
      <c r="AL66" s="119">
        <f t="shared" si="140"/>
        <v>0</v>
      </c>
      <c r="AM66" s="14">
        <f t="shared" si="140"/>
        <v>0</v>
      </c>
      <c r="AN66" s="14">
        <f t="shared" si="140"/>
        <v>0</v>
      </c>
      <c r="AO66" s="14">
        <f t="shared" si="140"/>
        <v>0</v>
      </c>
      <c r="AP66" s="14">
        <f t="shared" si="140"/>
        <v>0</v>
      </c>
      <c r="AQ66" s="14">
        <f t="shared" si="140"/>
        <v>0</v>
      </c>
      <c r="AR66" s="11">
        <f t="shared" si="140"/>
        <v>0</v>
      </c>
    </row>
    <row r="67" spans="4:44" x14ac:dyDescent="0.2">
      <c r="D67" s="8"/>
      <c r="E67" s="4"/>
      <c r="F67" s="8"/>
      <c r="G67" s="17"/>
      <c r="H67" s="16">
        <v>3124</v>
      </c>
      <c r="I67" s="370">
        <f t="shared" ref="I67" si="141">SUMIF($F$12:$F$366,"=3124",I$12:I$366)</f>
        <v>0</v>
      </c>
      <c r="J67" s="14">
        <f t="shared" ref="J67:AR67" si="142">SUMIF($F$12:$F$447,"=3124",J$12:J$447)</f>
        <v>0</v>
      </c>
      <c r="K67" s="14">
        <f t="shared" si="142"/>
        <v>0</v>
      </c>
      <c r="L67" s="14">
        <f t="shared" si="142"/>
        <v>0</v>
      </c>
      <c r="M67" s="14">
        <f t="shared" si="142"/>
        <v>0</v>
      </c>
      <c r="N67" s="651">
        <f t="shared" si="142"/>
        <v>0</v>
      </c>
      <c r="O67" s="120">
        <f t="shared" si="142"/>
        <v>0</v>
      </c>
      <c r="P67" s="14">
        <f t="shared" si="142"/>
        <v>0</v>
      </c>
      <c r="Q67" s="14">
        <f t="shared" si="142"/>
        <v>0</v>
      </c>
      <c r="R67" s="14">
        <f t="shared" si="142"/>
        <v>0</v>
      </c>
      <c r="S67" s="14">
        <f t="shared" si="142"/>
        <v>0</v>
      </c>
      <c r="T67" s="14">
        <f t="shared" si="142"/>
        <v>0</v>
      </c>
      <c r="U67" s="14">
        <f t="shared" si="142"/>
        <v>0</v>
      </c>
      <c r="V67" s="14">
        <f t="shared" si="142"/>
        <v>0</v>
      </c>
      <c r="W67" s="14">
        <f t="shared" si="142"/>
        <v>0</v>
      </c>
      <c r="X67" s="14">
        <f t="shared" si="142"/>
        <v>0</v>
      </c>
      <c r="Y67" s="14">
        <f t="shared" si="142"/>
        <v>0</v>
      </c>
      <c r="Z67" s="14">
        <f t="shared" si="142"/>
        <v>0</v>
      </c>
      <c r="AA67" s="14">
        <f t="shared" si="142"/>
        <v>0</v>
      </c>
      <c r="AB67" s="14">
        <f t="shared" si="142"/>
        <v>0</v>
      </c>
      <c r="AC67" s="14">
        <f t="shared" si="142"/>
        <v>0</v>
      </c>
      <c r="AD67" s="14">
        <f t="shared" si="142"/>
        <v>0</v>
      </c>
      <c r="AE67" s="11">
        <f t="shared" si="142"/>
        <v>0</v>
      </c>
      <c r="AF67" s="11">
        <f t="shared" si="142"/>
        <v>0</v>
      </c>
      <c r="AG67" s="11">
        <f t="shared" si="142"/>
        <v>0</v>
      </c>
      <c r="AH67" s="11">
        <f t="shared" si="142"/>
        <v>0</v>
      </c>
      <c r="AI67" s="11">
        <f t="shared" si="142"/>
        <v>0</v>
      </c>
      <c r="AJ67" s="11">
        <f t="shared" si="142"/>
        <v>0</v>
      </c>
      <c r="AK67" s="121">
        <f t="shared" si="142"/>
        <v>0</v>
      </c>
      <c r="AL67" s="119">
        <f t="shared" si="142"/>
        <v>0</v>
      </c>
      <c r="AM67" s="14">
        <f t="shared" si="142"/>
        <v>0</v>
      </c>
      <c r="AN67" s="14">
        <f t="shared" si="142"/>
        <v>0</v>
      </c>
      <c r="AO67" s="14">
        <f t="shared" si="142"/>
        <v>0</v>
      </c>
      <c r="AP67" s="14">
        <f t="shared" si="142"/>
        <v>0</v>
      </c>
      <c r="AQ67" s="14">
        <f t="shared" si="142"/>
        <v>0</v>
      </c>
      <c r="AR67" s="11">
        <f t="shared" si="142"/>
        <v>0</v>
      </c>
    </row>
    <row r="68" spans="4:44" x14ac:dyDescent="0.2">
      <c r="D68" s="8"/>
      <c r="E68" s="4"/>
      <c r="F68" s="8"/>
      <c r="G68" s="17"/>
      <c r="H68" s="16">
        <v>3141</v>
      </c>
      <c r="I68" s="370">
        <f t="shared" ref="I68" si="143">SUMIF($F$12:$F$366,"=3141",I$12:I$366)</f>
        <v>0</v>
      </c>
      <c r="J68" s="14">
        <f t="shared" ref="J68:AR68" si="144">SUMIF($F$12:$F$447,"=3141",J$12:J$447)</f>
        <v>0</v>
      </c>
      <c r="K68" s="14">
        <f t="shared" si="144"/>
        <v>0</v>
      </c>
      <c r="L68" s="14">
        <f t="shared" si="144"/>
        <v>0</v>
      </c>
      <c r="M68" s="14">
        <f t="shared" si="144"/>
        <v>0</v>
      </c>
      <c r="N68" s="651">
        <f t="shared" si="144"/>
        <v>0</v>
      </c>
      <c r="O68" s="120">
        <f t="shared" si="144"/>
        <v>0</v>
      </c>
      <c r="P68" s="14">
        <f t="shared" si="144"/>
        <v>0</v>
      </c>
      <c r="Q68" s="14">
        <f t="shared" si="144"/>
        <v>0</v>
      </c>
      <c r="R68" s="14">
        <f t="shared" si="144"/>
        <v>0</v>
      </c>
      <c r="S68" s="14">
        <f t="shared" si="144"/>
        <v>0</v>
      </c>
      <c r="T68" s="14">
        <f t="shared" si="144"/>
        <v>0</v>
      </c>
      <c r="U68" s="14">
        <f t="shared" si="144"/>
        <v>0</v>
      </c>
      <c r="V68" s="14">
        <f t="shared" si="144"/>
        <v>0</v>
      </c>
      <c r="W68" s="14">
        <f t="shared" si="144"/>
        <v>0</v>
      </c>
      <c r="X68" s="14">
        <f t="shared" si="144"/>
        <v>0</v>
      </c>
      <c r="Y68" s="14">
        <f t="shared" si="144"/>
        <v>0</v>
      </c>
      <c r="Z68" s="14">
        <f t="shared" si="144"/>
        <v>0</v>
      </c>
      <c r="AA68" s="14">
        <f t="shared" si="144"/>
        <v>0</v>
      </c>
      <c r="AB68" s="14">
        <f t="shared" si="144"/>
        <v>0</v>
      </c>
      <c r="AC68" s="14">
        <f t="shared" si="144"/>
        <v>0</v>
      </c>
      <c r="AD68" s="14">
        <f t="shared" si="144"/>
        <v>0</v>
      </c>
      <c r="AE68" s="11">
        <f t="shared" si="144"/>
        <v>0</v>
      </c>
      <c r="AF68" s="11">
        <f t="shared" si="144"/>
        <v>0</v>
      </c>
      <c r="AG68" s="11">
        <f t="shared" si="144"/>
        <v>0</v>
      </c>
      <c r="AH68" s="11">
        <f t="shared" si="144"/>
        <v>0</v>
      </c>
      <c r="AI68" s="11">
        <f t="shared" si="144"/>
        <v>0</v>
      </c>
      <c r="AJ68" s="11">
        <f t="shared" si="144"/>
        <v>0</v>
      </c>
      <c r="AK68" s="121">
        <f t="shared" si="144"/>
        <v>0</v>
      </c>
      <c r="AL68" s="119">
        <f t="shared" si="144"/>
        <v>0</v>
      </c>
      <c r="AM68" s="14">
        <f t="shared" si="144"/>
        <v>0</v>
      </c>
      <c r="AN68" s="14">
        <f t="shared" si="144"/>
        <v>0</v>
      </c>
      <c r="AO68" s="14">
        <f t="shared" si="144"/>
        <v>0</v>
      </c>
      <c r="AP68" s="14">
        <f t="shared" si="144"/>
        <v>0</v>
      </c>
      <c r="AQ68" s="14">
        <f t="shared" si="144"/>
        <v>0</v>
      </c>
      <c r="AR68" s="11">
        <f t="shared" si="144"/>
        <v>0</v>
      </c>
    </row>
    <row r="69" spans="4:44" x14ac:dyDescent="0.2">
      <c r="D69" s="8"/>
      <c r="E69" s="4"/>
      <c r="F69" s="8"/>
      <c r="G69" s="17"/>
      <c r="H69" s="16">
        <v>3143</v>
      </c>
      <c r="I69" s="370">
        <f t="shared" ref="I69" si="145">SUMIF($F$12:$F$366,"=3143",I$12:I$366)</f>
        <v>7814097</v>
      </c>
      <c r="J69" s="14">
        <f t="shared" ref="J69:AR69" si="146">SUMIF($F$12:$F$447,"=3143",J$12:J$447)</f>
        <v>5796807</v>
      </c>
      <c r="K69" s="14">
        <f t="shared" si="146"/>
        <v>1959321</v>
      </c>
      <c r="L69" s="14">
        <f t="shared" si="146"/>
        <v>57969</v>
      </c>
      <c r="M69" s="14">
        <f t="shared" si="146"/>
        <v>0</v>
      </c>
      <c r="N69" s="651">
        <f t="shared" si="146"/>
        <v>11.88</v>
      </c>
      <c r="O69" s="120">
        <f t="shared" si="146"/>
        <v>-117000</v>
      </c>
      <c r="P69" s="14">
        <f t="shared" si="146"/>
        <v>0</v>
      </c>
      <c r="Q69" s="14">
        <f t="shared" si="146"/>
        <v>0</v>
      </c>
      <c r="R69" s="14">
        <f t="shared" si="146"/>
        <v>0</v>
      </c>
      <c r="S69" s="14">
        <f t="shared" si="146"/>
        <v>0</v>
      </c>
      <c r="T69" s="14">
        <f t="shared" si="146"/>
        <v>0</v>
      </c>
      <c r="U69" s="14">
        <f t="shared" si="146"/>
        <v>-117000</v>
      </c>
      <c r="V69" s="14">
        <f t="shared" si="146"/>
        <v>117000</v>
      </c>
      <c r="W69" s="14">
        <f t="shared" si="146"/>
        <v>0</v>
      </c>
      <c r="X69" s="14">
        <f t="shared" si="146"/>
        <v>0</v>
      </c>
      <c r="Y69" s="14">
        <f t="shared" si="146"/>
        <v>117000</v>
      </c>
      <c r="Z69" s="14">
        <f t="shared" si="146"/>
        <v>0</v>
      </c>
      <c r="AA69" s="14">
        <f t="shared" si="146"/>
        <v>0</v>
      </c>
      <c r="AB69" s="14">
        <f t="shared" si="146"/>
        <v>-1170</v>
      </c>
      <c r="AC69" s="14">
        <f t="shared" si="146"/>
        <v>0</v>
      </c>
      <c r="AD69" s="14">
        <f t="shared" si="146"/>
        <v>-1170</v>
      </c>
      <c r="AE69" s="11">
        <f t="shared" si="146"/>
        <v>-0.02</v>
      </c>
      <c r="AF69" s="11">
        <f t="shared" si="146"/>
        <v>0</v>
      </c>
      <c r="AG69" s="11">
        <f t="shared" si="146"/>
        <v>0</v>
      </c>
      <c r="AH69" s="11">
        <f t="shared" si="146"/>
        <v>0</v>
      </c>
      <c r="AI69" s="11">
        <f t="shared" si="146"/>
        <v>0</v>
      </c>
      <c r="AJ69" s="11">
        <f t="shared" si="146"/>
        <v>0</v>
      </c>
      <c r="AK69" s="121">
        <f t="shared" si="146"/>
        <v>-0.02</v>
      </c>
      <c r="AL69" s="119">
        <f t="shared" si="146"/>
        <v>7812927</v>
      </c>
      <c r="AM69" s="14">
        <f t="shared" si="146"/>
        <v>5679807</v>
      </c>
      <c r="AN69" s="14">
        <f t="shared" si="146"/>
        <v>117000</v>
      </c>
      <c r="AO69" s="14">
        <f t="shared" si="146"/>
        <v>1959321</v>
      </c>
      <c r="AP69" s="14">
        <f t="shared" si="146"/>
        <v>56799</v>
      </c>
      <c r="AQ69" s="14">
        <f t="shared" si="146"/>
        <v>0</v>
      </c>
      <c r="AR69" s="11">
        <f t="shared" si="146"/>
        <v>11.860000000000001</v>
      </c>
    </row>
    <row r="70" spans="4:44" x14ac:dyDescent="0.2">
      <c r="D70" s="8"/>
      <c r="E70" s="4"/>
      <c r="F70" s="8"/>
      <c r="G70" s="17"/>
      <c r="H70" s="16">
        <v>3231</v>
      </c>
      <c r="I70" s="370">
        <f t="shared" ref="I70" si="147">SUMIF($F$12:$F$366,"=3231",I$12:I$366)</f>
        <v>12663989</v>
      </c>
      <c r="J70" s="14">
        <f t="shared" ref="J70:AR70" si="148">SUMIF($F$12:$F$447,"=3231",J$12:J$447)</f>
        <v>9394650</v>
      </c>
      <c r="K70" s="14">
        <f t="shared" si="148"/>
        <v>3175392</v>
      </c>
      <c r="L70" s="14">
        <f t="shared" si="148"/>
        <v>93947</v>
      </c>
      <c r="M70" s="14">
        <f t="shared" si="148"/>
        <v>0</v>
      </c>
      <c r="N70" s="651">
        <f t="shared" si="148"/>
        <v>14.11</v>
      </c>
      <c r="O70" s="120">
        <f t="shared" si="148"/>
        <v>-28800</v>
      </c>
      <c r="P70" s="14">
        <f t="shared" si="148"/>
        <v>0</v>
      </c>
      <c r="Q70" s="14">
        <f t="shared" si="148"/>
        <v>0</v>
      </c>
      <c r="R70" s="14">
        <f t="shared" si="148"/>
        <v>0</v>
      </c>
      <c r="S70" s="14">
        <f t="shared" si="148"/>
        <v>0</v>
      </c>
      <c r="T70" s="14">
        <f t="shared" si="148"/>
        <v>0</v>
      </c>
      <c r="U70" s="14">
        <f t="shared" si="148"/>
        <v>-28800</v>
      </c>
      <c r="V70" s="14">
        <f t="shared" si="148"/>
        <v>28800</v>
      </c>
      <c r="W70" s="14">
        <f t="shared" si="148"/>
        <v>0</v>
      </c>
      <c r="X70" s="14">
        <f t="shared" si="148"/>
        <v>0</v>
      </c>
      <c r="Y70" s="14">
        <f t="shared" si="148"/>
        <v>28800</v>
      </c>
      <c r="Z70" s="14">
        <f t="shared" si="148"/>
        <v>0</v>
      </c>
      <c r="AA70" s="14">
        <f t="shared" si="148"/>
        <v>0</v>
      </c>
      <c r="AB70" s="14">
        <f t="shared" si="148"/>
        <v>-288</v>
      </c>
      <c r="AC70" s="14">
        <f t="shared" si="148"/>
        <v>0</v>
      </c>
      <c r="AD70" s="14">
        <f t="shared" si="148"/>
        <v>-288</v>
      </c>
      <c r="AE70" s="11">
        <f t="shared" si="148"/>
        <v>-0.05</v>
      </c>
      <c r="AF70" s="11">
        <f t="shared" si="148"/>
        <v>0</v>
      </c>
      <c r="AG70" s="11">
        <f t="shared" si="148"/>
        <v>0</v>
      </c>
      <c r="AH70" s="11">
        <f t="shared" si="148"/>
        <v>0</v>
      </c>
      <c r="AI70" s="11">
        <f t="shared" si="148"/>
        <v>0</v>
      </c>
      <c r="AJ70" s="11">
        <f t="shared" si="148"/>
        <v>0</v>
      </c>
      <c r="AK70" s="121">
        <f t="shared" si="148"/>
        <v>-0.05</v>
      </c>
      <c r="AL70" s="119">
        <f t="shared" si="148"/>
        <v>12663701</v>
      </c>
      <c r="AM70" s="14">
        <f t="shared" si="148"/>
        <v>9365850</v>
      </c>
      <c r="AN70" s="14">
        <f t="shared" si="148"/>
        <v>28800</v>
      </c>
      <c r="AO70" s="14">
        <f t="shared" si="148"/>
        <v>3175392</v>
      </c>
      <c r="AP70" s="14">
        <f t="shared" si="148"/>
        <v>93659</v>
      </c>
      <c r="AQ70" s="14">
        <f t="shared" si="148"/>
        <v>0</v>
      </c>
      <c r="AR70" s="11">
        <f t="shared" si="148"/>
        <v>14.059999999999999</v>
      </c>
    </row>
    <row r="71" spans="4:44" ht="13.5" thickBot="1" x14ac:dyDescent="0.25">
      <c r="D71" s="8"/>
      <c r="E71" s="4"/>
      <c r="F71" s="8"/>
      <c r="G71" s="17"/>
      <c r="H71" s="95">
        <v>3233</v>
      </c>
      <c r="I71" s="867">
        <f t="shared" ref="I71" si="149">SUMIF($F$12:$F$366,"=3233",I$12:I$366)</f>
        <v>2380972</v>
      </c>
      <c r="J71" s="123">
        <f t="shared" ref="J71:AR71" si="150">SUMIF($F$12:$F$447,"=3233",J$12:J$447)</f>
        <v>1766300</v>
      </c>
      <c r="K71" s="123">
        <f t="shared" si="150"/>
        <v>597009</v>
      </c>
      <c r="L71" s="123">
        <f t="shared" si="150"/>
        <v>17663</v>
      </c>
      <c r="M71" s="123">
        <f t="shared" si="150"/>
        <v>0</v>
      </c>
      <c r="N71" s="653">
        <f t="shared" si="150"/>
        <v>2.99</v>
      </c>
      <c r="O71" s="125">
        <f t="shared" si="150"/>
        <v>-108000</v>
      </c>
      <c r="P71" s="123">
        <f t="shared" si="150"/>
        <v>0</v>
      </c>
      <c r="Q71" s="123">
        <f t="shared" si="150"/>
        <v>0</v>
      </c>
      <c r="R71" s="123">
        <f t="shared" si="150"/>
        <v>0</v>
      </c>
      <c r="S71" s="123">
        <f t="shared" si="150"/>
        <v>0</v>
      </c>
      <c r="T71" s="123">
        <f t="shared" si="150"/>
        <v>0</v>
      </c>
      <c r="U71" s="123">
        <f t="shared" si="150"/>
        <v>-108000</v>
      </c>
      <c r="V71" s="123">
        <f t="shared" si="150"/>
        <v>108000</v>
      </c>
      <c r="W71" s="123">
        <f t="shared" si="150"/>
        <v>0</v>
      </c>
      <c r="X71" s="123">
        <f t="shared" si="150"/>
        <v>0</v>
      </c>
      <c r="Y71" s="123">
        <f t="shared" si="150"/>
        <v>108000</v>
      </c>
      <c r="Z71" s="123">
        <f t="shared" si="150"/>
        <v>0</v>
      </c>
      <c r="AA71" s="123">
        <f t="shared" si="150"/>
        <v>0</v>
      </c>
      <c r="AB71" s="123">
        <f t="shared" si="150"/>
        <v>-1080</v>
      </c>
      <c r="AC71" s="123">
        <f t="shared" si="150"/>
        <v>0</v>
      </c>
      <c r="AD71" s="123">
        <f t="shared" si="150"/>
        <v>-1080</v>
      </c>
      <c r="AE71" s="124">
        <f t="shared" si="150"/>
        <v>-0.22</v>
      </c>
      <c r="AF71" s="124">
        <f t="shared" si="150"/>
        <v>0</v>
      </c>
      <c r="AG71" s="124">
        <f t="shared" si="150"/>
        <v>0</v>
      </c>
      <c r="AH71" s="124">
        <f t="shared" si="150"/>
        <v>0</v>
      </c>
      <c r="AI71" s="124">
        <f t="shared" si="150"/>
        <v>0</v>
      </c>
      <c r="AJ71" s="124">
        <f t="shared" si="150"/>
        <v>0</v>
      </c>
      <c r="AK71" s="126">
        <f t="shared" si="150"/>
        <v>-0.22</v>
      </c>
      <c r="AL71" s="122">
        <f t="shared" si="150"/>
        <v>2379892</v>
      </c>
      <c r="AM71" s="123">
        <f t="shared" si="150"/>
        <v>1658300</v>
      </c>
      <c r="AN71" s="123">
        <f t="shared" si="150"/>
        <v>108000</v>
      </c>
      <c r="AO71" s="123">
        <f t="shared" si="150"/>
        <v>597009</v>
      </c>
      <c r="AP71" s="123">
        <f t="shared" si="150"/>
        <v>16583</v>
      </c>
      <c r="AQ71" s="123">
        <f t="shared" si="150"/>
        <v>0</v>
      </c>
      <c r="AR71" s="124">
        <f t="shared" si="150"/>
        <v>2.77</v>
      </c>
    </row>
    <row r="72" spans="4:44" x14ac:dyDescent="0.2">
      <c r="D72" s="4"/>
      <c r="E72" s="4"/>
      <c r="F72" s="4"/>
      <c r="G72" s="17"/>
      <c r="H72" s="4"/>
    </row>
  </sheetData>
  <mergeCells count="45">
    <mergeCell ref="AM8:AP8"/>
    <mergeCell ref="V7:Y8"/>
    <mergeCell ref="AP9:AP10"/>
    <mergeCell ref="AE7:AK7"/>
    <mergeCell ref="AL6:AR7"/>
    <mergeCell ref="AR8:AR10"/>
    <mergeCell ref="AQ9:AQ10"/>
    <mergeCell ref="AL8:AL10"/>
    <mergeCell ref="AM9:AM10"/>
    <mergeCell ref="AO9:AO10"/>
    <mergeCell ref="AN9:AN10"/>
    <mergeCell ref="W9:W10"/>
    <mergeCell ref="AD7:AD10"/>
    <mergeCell ref="AB7:AB10"/>
    <mergeCell ref="AH8:AH10"/>
    <mergeCell ref="AJ8:AJ10"/>
    <mergeCell ref="A3:E3"/>
    <mergeCell ref="I8:I10"/>
    <mergeCell ref="I6:N7"/>
    <mergeCell ref="AA7:AA10"/>
    <mergeCell ref="Y9:Y10"/>
    <mergeCell ref="O6:AK6"/>
    <mergeCell ref="P9:P10"/>
    <mergeCell ref="Q9:Q10"/>
    <mergeCell ref="U9:U10"/>
    <mergeCell ref="O7:U8"/>
    <mergeCell ref="L9:L10"/>
    <mergeCell ref="M9:M10"/>
    <mergeCell ref="N8:N10"/>
    <mergeCell ref="J9:J10"/>
    <mergeCell ref="K9:K10"/>
    <mergeCell ref="J8:L8"/>
    <mergeCell ref="O9:O10"/>
    <mergeCell ref="R9:R10"/>
    <mergeCell ref="T9:T10"/>
    <mergeCell ref="V9:V10"/>
    <mergeCell ref="X9:X10"/>
    <mergeCell ref="S9:S10"/>
    <mergeCell ref="AK8:AK10"/>
    <mergeCell ref="Z7:Z10"/>
    <mergeCell ref="AC7:AC10"/>
    <mergeCell ref="AE8:AE10"/>
    <mergeCell ref="AF8:AF10"/>
    <mergeCell ref="AG8:AG10"/>
    <mergeCell ref="AI8:AI1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AR239"/>
  <sheetViews>
    <sheetView zoomScaleNormal="100" workbookViewId="0">
      <pane xSplit="8" ySplit="11" topLeftCell="I47" activePane="bottomRight" state="frozen"/>
      <selection activeCell="I6" sqref="I6:AR10"/>
      <selection pane="topRight" activeCell="I6" sqref="I6:AR10"/>
      <selection pane="bottomLeft" activeCell="I6" sqref="I6:AR10"/>
      <selection pane="bottomRight" activeCell="I6" sqref="I6:AR10"/>
    </sheetView>
  </sheetViews>
  <sheetFormatPr defaultRowHeight="12.75" x14ac:dyDescent="0.2"/>
  <cols>
    <col min="1" max="1" width="5" customWidth="1"/>
    <col min="2" max="2" width="5.7109375" bestFit="1" customWidth="1"/>
    <col min="3" max="3" width="8.7109375" bestFit="1" customWidth="1"/>
    <col min="4" max="4" width="7.85546875" bestFit="1" customWidth="1"/>
    <col min="5" max="5" width="28.140625" customWidth="1"/>
    <col min="6" max="6" width="5.42578125" customWidth="1"/>
    <col min="7" max="7" width="10.28515625" style="38" customWidth="1"/>
    <col min="8" max="8" width="8" customWidth="1"/>
    <col min="9" max="9" width="12.42578125" style="7" customWidth="1"/>
    <col min="10" max="10" width="12.140625" style="7" customWidth="1"/>
    <col min="11" max="11" width="11.85546875" style="7" customWidth="1"/>
    <col min="12" max="13" width="11.140625" style="7" customWidth="1"/>
    <col min="14" max="14" width="11.85546875" style="6" customWidth="1"/>
    <col min="15" max="17" width="10.28515625" style="7" customWidth="1"/>
    <col min="18" max="18" width="10.5703125" style="7" customWidth="1"/>
    <col min="19" max="19" width="12.140625" style="7" customWidth="1"/>
    <col min="20" max="25" width="10.28515625" style="7" customWidth="1"/>
    <col min="26" max="26" width="11.140625" style="6" customWidth="1"/>
    <col min="27" max="27" width="9.28515625" style="6" customWidth="1"/>
    <col min="28" max="29" width="9.140625" style="7" customWidth="1"/>
    <col min="30" max="30" width="9.7109375" style="7" customWidth="1"/>
    <col min="31" max="32" width="9.140625" style="6" customWidth="1"/>
    <col min="33" max="33" width="10.140625" style="6" customWidth="1"/>
    <col min="34" max="34" width="9.28515625" style="6" customWidth="1"/>
    <col min="35" max="35" width="10.5703125" style="6" customWidth="1"/>
    <col min="36" max="36" width="10.42578125" style="6" customWidth="1"/>
    <col min="37" max="37" width="9.28515625" style="6" customWidth="1"/>
    <col min="38" max="38" width="13.28515625" style="6" customWidth="1"/>
    <col min="39" max="39" width="12.28515625" style="6" customWidth="1"/>
    <col min="40" max="42" width="10.85546875" style="6" customWidth="1"/>
    <col min="43" max="43" width="9.5703125" style="6" customWidth="1"/>
    <col min="44" max="44" width="10.85546875" style="6" customWidth="1"/>
    <col min="141" max="141" width="6.85546875" customWidth="1"/>
    <col min="142" max="142" width="29.85546875" customWidth="1"/>
    <col min="143" max="143" width="6.7109375" customWidth="1"/>
    <col min="144" max="144" width="32.28515625" customWidth="1"/>
    <col min="145" max="145" width="10.85546875" customWidth="1"/>
    <col min="146" max="146" width="11.7109375" customWidth="1"/>
    <col min="147" max="147" width="10.85546875" customWidth="1"/>
    <col min="148" max="148" width="10.5703125" customWidth="1"/>
    <col min="150" max="150" width="10.85546875" customWidth="1"/>
    <col min="153" max="153" width="12" customWidth="1"/>
    <col min="397" max="397" width="6.85546875" customWidth="1"/>
    <col min="398" max="398" width="29.85546875" customWidth="1"/>
    <col min="399" max="399" width="6.7109375" customWidth="1"/>
    <col min="400" max="400" width="32.28515625" customWidth="1"/>
    <col min="401" max="401" width="10.85546875" customWidth="1"/>
    <col min="402" max="402" width="11.7109375" customWidth="1"/>
    <col min="403" max="403" width="10.85546875" customWidth="1"/>
    <col min="404" max="404" width="10.5703125" customWidth="1"/>
    <col min="406" max="406" width="10.85546875" customWidth="1"/>
    <col min="409" max="409" width="12" customWidth="1"/>
    <col min="653" max="653" width="6.85546875" customWidth="1"/>
    <col min="654" max="654" width="29.85546875" customWidth="1"/>
    <col min="655" max="655" width="6.7109375" customWidth="1"/>
    <col min="656" max="656" width="32.28515625" customWidth="1"/>
    <col min="657" max="657" width="10.85546875" customWidth="1"/>
    <col min="658" max="658" width="11.7109375" customWidth="1"/>
    <col min="659" max="659" width="10.85546875" customWidth="1"/>
    <col min="660" max="660" width="10.5703125" customWidth="1"/>
    <col min="662" max="662" width="10.85546875" customWidth="1"/>
    <col min="665" max="665" width="12" customWidth="1"/>
    <col min="909" max="909" width="6.85546875" customWidth="1"/>
    <col min="910" max="910" width="29.85546875" customWidth="1"/>
    <col min="911" max="911" width="6.7109375" customWidth="1"/>
    <col min="912" max="912" width="32.28515625" customWidth="1"/>
    <col min="913" max="913" width="10.85546875" customWidth="1"/>
    <col min="914" max="914" width="11.7109375" customWidth="1"/>
    <col min="915" max="915" width="10.85546875" customWidth="1"/>
    <col min="916" max="916" width="10.5703125" customWidth="1"/>
    <col min="918" max="918" width="10.85546875" customWidth="1"/>
    <col min="921" max="921" width="12" customWidth="1"/>
    <col min="1165" max="1165" width="6.85546875" customWidth="1"/>
    <col min="1166" max="1166" width="29.85546875" customWidth="1"/>
    <col min="1167" max="1167" width="6.7109375" customWidth="1"/>
    <col min="1168" max="1168" width="32.28515625" customWidth="1"/>
    <col min="1169" max="1169" width="10.85546875" customWidth="1"/>
    <col min="1170" max="1170" width="11.7109375" customWidth="1"/>
    <col min="1171" max="1171" width="10.85546875" customWidth="1"/>
    <col min="1172" max="1172" width="10.5703125" customWidth="1"/>
    <col min="1174" max="1174" width="10.85546875" customWidth="1"/>
    <col min="1177" max="1177" width="12" customWidth="1"/>
    <col min="1421" max="1421" width="6.85546875" customWidth="1"/>
    <col min="1422" max="1422" width="29.85546875" customWidth="1"/>
    <col min="1423" max="1423" width="6.7109375" customWidth="1"/>
    <col min="1424" max="1424" width="32.28515625" customWidth="1"/>
    <col min="1425" max="1425" width="10.85546875" customWidth="1"/>
    <col min="1426" max="1426" width="11.7109375" customWidth="1"/>
    <col min="1427" max="1427" width="10.85546875" customWidth="1"/>
    <col min="1428" max="1428" width="10.5703125" customWidth="1"/>
    <col min="1430" max="1430" width="10.85546875" customWidth="1"/>
    <col min="1433" max="1433" width="12" customWidth="1"/>
    <col min="1677" max="1677" width="6.85546875" customWidth="1"/>
    <col min="1678" max="1678" width="29.85546875" customWidth="1"/>
    <col min="1679" max="1679" width="6.7109375" customWidth="1"/>
    <col min="1680" max="1680" width="32.28515625" customWidth="1"/>
    <col min="1681" max="1681" width="10.85546875" customWidth="1"/>
    <col min="1682" max="1682" width="11.7109375" customWidth="1"/>
    <col min="1683" max="1683" width="10.85546875" customWidth="1"/>
    <col min="1684" max="1684" width="10.5703125" customWidth="1"/>
    <col min="1686" max="1686" width="10.85546875" customWidth="1"/>
    <col min="1689" max="1689" width="12" customWidth="1"/>
    <col min="1933" max="1933" width="6.85546875" customWidth="1"/>
    <col min="1934" max="1934" width="29.85546875" customWidth="1"/>
    <col min="1935" max="1935" width="6.7109375" customWidth="1"/>
    <col min="1936" max="1936" width="32.28515625" customWidth="1"/>
    <col min="1937" max="1937" width="10.85546875" customWidth="1"/>
    <col min="1938" max="1938" width="11.7109375" customWidth="1"/>
    <col min="1939" max="1939" width="10.85546875" customWidth="1"/>
    <col min="1940" max="1940" width="10.5703125" customWidth="1"/>
    <col min="1942" max="1942" width="10.85546875" customWidth="1"/>
    <col min="1945" max="1945" width="12" customWidth="1"/>
    <col min="2189" max="2189" width="6.85546875" customWidth="1"/>
    <col min="2190" max="2190" width="29.85546875" customWidth="1"/>
    <col min="2191" max="2191" width="6.7109375" customWidth="1"/>
    <col min="2192" max="2192" width="32.28515625" customWidth="1"/>
    <col min="2193" max="2193" width="10.85546875" customWidth="1"/>
    <col min="2194" max="2194" width="11.7109375" customWidth="1"/>
    <col min="2195" max="2195" width="10.85546875" customWidth="1"/>
    <col min="2196" max="2196" width="10.5703125" customWidth="1"/>
    <col min="2198" max="2198" width="10.85546875" customWidth="1"/>
    <col min="2201" max="2201" width="12" customWidth="1"/>
    <col min="2445" max="2445" width="6.85546875" customWidth="1"/>
    <col min="2446" max="2446" width="29.85546875" customWidth="1"/>
    <col min="2447" max="2447" width="6.7109375" customWidth="1"/>
    <col min="2448" max="2448" width="32.28515625" customWidth="1"/>
    <col min="2449" max="2449" width="10.85546875" customWidth="1"/>
    <col min="2450" max="2450" width="11.7109375" customWidth="1"/>
    <col min="2451" max="2451" width="10.85546875" customWidth="1"/>
    <col min="2452" max="2452" width="10.5703125" customWidth="1"/>
    <col min="2454" max="2454" width="10.85546875" customWidth="1"/>
    <col min="2457" max="2457" width="12" customWidth="1"/>
    <col min="2701" max="2701" width="6.85546875" customWidth="1"/>
    <col min="2702" max="2702" width="29.85546875" customWidth="1"/>
    <col min="2703" max="2703" width="6.7109375" customWidth="1"/>
    <col min="2704" max="2704" width="32.28515625" customWidth="1"/>
    <col min="2705" max="2705" width="10.85546875" customWidth="1"/>
    <col min="2706" max="2706" width="11.7109375" customWidth="1"/>
    <col min="2707" max="2707" width="10.85546875" customWidth="1"/>
    <col min="2708" max="2708" width="10.5703125" customWidth="1"/>
    <col min="2710" max="2710" width="10.85546875" customWidth="1"/>
    <col min="2713" max="2713" width="12" customWidth="1"/>
    <col min="2957" max="2957" width="6.85546875" customWidth="1"/>
    <col min="2958" max="2958" width="29.85546875" customWidth="1"/>
    <col min="2959" max="2959" width="6.7109375" customWidth="1"/>
    <col min="2960" max="2960" width="32.28515625" customWidth="1"/>
    <col min="2961" max="2961" width="10.85546875" customWidth="1"/>
    <col min="2962" max="2962" width="11.7109375" customWidth="1"/>
    <col min="2963" max="2963" width="10.85546875" customWidth="1"/>
    <col min="2964" max="2964" width="10.5703125" customWidth="1"/>
    <col min="2966" max="2966" width="10.85546875" customWidth="1"/>
    <col min="2969" max="2969" width="12" customWidth="1"/>
    <col min="3213" max="3213" width="6.85546875" customWidth="1"/>
    <col min="3214" max="3214" width="29.85546875" customWidth="1"/>
    <col min="3215" max="3215" width="6.7109375" customWidth="1"/>
    <col min="3216" max="3216" width="32.28515625" customWidth="1"/>
    <col min="3217" max="3217" width="10.85546875" customWidth="1"/>
    <col min="3218" max="3218" width="11.7109375" customWidth="1"/>
    <col min="3219" max="3219" width="10.85546875" customWidth="1"/>
    <col min="3220" max="3220" width="10.5703125" customWidth="1"/>
    <col min="3222" max="3222" width="10.85546875" customWidth="1"/>
    <col min="3225" max="3225" width="12" customWidth="1"/>
    <col min="3469" max="3469" width="6.85546875" customWidth="1"/>
    <col min="3470" max="3470" width="29.85546875" customWidth="1"/>
    <col min="3471" max="3471" width="6.7109375" customWidth="1"/>
    <col min="3472" max="3472" width="32.28515625" customWidth="1"/>
    <col min="3473" max="3473" width="10.85546875" customWidth="1"/>
    <col min="3474" max="3474" width="11.7109375" customWidth="1"/>
    <col min="3475" max="3475" width="10.85546875" customWidth="1"/>
    <col min="3476" max="3476" width="10.5703125" customWidth="1"/>
    <col min="3478" max="3478" width="10.85546875" customWidth="1"/>
    <col min="3481" max="3481" width="12" customWidth="1"/>
    <col min="3725" max="3725" width="6.85546875" customWidth="1"/>
    <col min="3726" max="3726" width="29.85546875" customWidth="1"/>
    <col min="3727" max="3727" width="6.7109375" customWidth="1"/>
    <col min="3728" max="3728" width="32.28515625" customWidth="1"/>
    <col min="3729" max="3729" width="10.85546875" customWidth="1"/>
    <col min="3730" max="3730" width="11.7109375" customWidth="1"/>
    <col min="3731" max="3731" width="10.85546875" customWidth="1"/>
    <col min="3732" max="3732" width="10.5703125" customWidth="1"/>
    <col min="3734" max="3734" width="10.85546875" customWidth="1"/>
    <col min="3737" max="3737" width="12" customWidth="1"/>
    <col min="3981" max="3981" width="6.85546875" customWidth="1"/>
    <col min="3982" max="3982" width="29.85546875" customWidth="1"/>
    <col min="3983" max="3983" width="6.7109375" customWidth="1"/>
    <col min="3984" max="3984" width="32.28515625" customWidth="1"/>
    <col min="3985" max="3985" width="10.85546875" customWidth="1"/>
    <col min="3986" max="3986" width="11.7109375" customWidth="1"/>
    <col min="3987" max="3987" width="10.85546875" customWidth="1"/>
    <col min="3988" max="3988" width="10.5703125" customWidth="1"/>
    <col min="3990" max="3990" width="10.85546875" customWidth="1"/>
    <col min="3993" max="3993" width="12" customWidth="1"/>
    <col min="4237" max="4237" width="6.85546875" customWidth="1"/>
    <col min="4238" max="4238" width="29.85546875" customWidth="1"/>
    <col min="4239" max="4239" width="6.7109375" customWidth="1"/>
    <col min="4240" max="4240" width="32.28515625" customWidth="1"/>
    <col min="4241" max="4241" width="10.85546875" customWidth="1"/>
    <col min="4242" max="4242" width="11.7109375" customWidth="1"/>
    <col min="4243" max="4243" width="10.85546875" customWidth="1"/>
    <col min="4244" max="4244" width="10.5703125" customWidth="1"/>
    <col min="4246" max="4246" width="10.85546875" customWidth="1"/>
    <col min="4249" max="4249" width="12" customWidth="1"/>
    <col min="4493" max="4493" width="6.85546875" customWidth="1"/>
    <col min="4494" max="4494" width="29.85546875" customWidth="1"/>
    <col min="4495" max="4495" width="6.7109375" customWidth="1"/>
    <col min="4496" max="4496" width="32.28515625" customWidth="1"/>
    <col min="4497" max="4497" width="10.85546875" customWidth="1"/>
    <col min="4498" max="4498" width="11.7109375" customWidth="1"/>
    <col min="4499" max="4499" width="10.85546875" customWidth="1"/>
    <col min="4500" max="4500" width="10.5703125" customWidth="1"/>
    <col min="4502" max="4502" width="10.85546875" customWidth="1"/>
    <col min="4505" max="4505" width="12" customWidth="1"/>
    <col min="4749" max="4749" width="6.85546875" customWidth="1"/>
    <col min="4750" max="4750" width="29.85546875" customWidth="1"/>
    <col min="4751" max="4751" width="6.7109375" customWidth="1"/>
    <col min="4752" max="4752" width="32.28515625" customWidth="1"/>
    <col min="4753" max="4753" width="10.85546875" customWidth="1"/>
    <col min="4754" max="4754" width="11.7109375" customWidth="1"/>
    <col min="4755" max="4755" width="10.85546875" customWidth="1"/>
    <col min="4756" max="4756" width="10.5703125" customWidth="1"/>
    <col min="4758" max="4758" width="10.85546875" customWidth="1"/>
    <col min="4761" max="4761" width="12" customWidth="1"/>
    <col min="5005" max="5005" width="6.85546875" customWidth="1"/>
    <col min="5006" max="5006" width="29.85546875" customWidth="1"/>
    <col min="5007" max="5007" width="6.7109375" customWidth="1"/>
    <col min="5008" max="5008" width="32.28515625" customWidth="1"/>
    <col min="5009" max="5009" width="10.85546875" customWidth="1"/>
    <col min="5010" max="5010" width="11.7109375" customWidth="1"/>
    <col min="5011" max="5011" width="10.85546875" customWidth="1"/>
    <col min="5012" max="5012" width="10.5703125" customWidth="1"/>
    <col min="5014" max="5014" width="10.85546875" customWidth="1"/>
    <col min="5017" max="5017" width="12" customWidth="1"/>
    <col min="5261" max="5261" width="6.85546875" customWidth="1"/>
    <col min="5262" max="5262" width="29.85546875" customWidth="1"/>
    <col min="5263" max="5263" width="6.7109375" customWidth="1"/>
    <col min="5264" max="5264" width="32.28515625" customWidth="1"/>
    <col min="5265" max="5265" width="10.85546875" customWidth="1"/>
    <col min="5266" max="5266" width="11.7109375" customWidth="1"/>
    <col min="5267" max="5267" width="10.85546875" customWidth="1"/>
    <col min="5268" max="5268" width="10.5703125" customWidth="1"/>
    <col min="5270" max="5270" width="10.85546875" customWidth="1"/>
    <col min="5273" max="5273" width="12" customWidth="1"/>
    <col min="5517" max="5517" width="6.85546875" customWidth="1"/>
    <col min="5518" max="5518" width="29.85546875" customWidth="1"/>
    <col min="5519" max="5519" width="6.7109375" customWidth="1"/>
    <col min="5520" max="5520" width="32.28515625" customWidth="1"/>
    <col min="5521" max="5521" width="10.85546875" customWidth="1"/>
    <col min="5522" max="5522" width="11.7109375" customWidth="1"/>
    <col min="5523" max="5523" width="10.85546875" customWidth="1"/>
    <col min="5524" max="5524" width="10.5703125" customWidth="1"/>
    <col min="5526" max="5526" width="10.85546875" customWidth="1"/>
    <col min="5529" max="5529" width="12" customWidth="1"/>
    <col min="5773" max="5773" width="6.85546875" customWidth="1"/>
    <col min="5774" max="5774" width="29.85546875" customWidth="1"/>
    <col min="5775" max="5775" width="6.7109375" customWidth="1"/>
    <col min="5776" max="5776" width="32.28515625" customWidth="1"/>
    <col min="5777" max="5777" width="10.85546875" customWidth="1"/>
    <col min="5778" max="5778" width="11.7109375" customWidth="1"/>
    <col min="5779" max="5779" width="10.85546875" customWidth="1"/>
    <col min="5780" max="5780" width="10.5703125" customWidth="1"/>
    <col min="5782" max="5782" width="10.85546875" customWidth="1"/>
    <col min="5785" max="5785" width="12" customWidth="1"/>
    <col min="6029" max="6029" width="6.85546875" customWidth="1"/>
    <col min="6030" max="6030" width="29.85546875" customWidth="1"/>
    <col min="6031" max="6031" width="6.7109375" customWidth="1"/>
    <col min="6032" max="6032" width="32.28515625" customWidth="1"/>
    <col min="6033" max="6033" width="10.85546875" customWidth="1"/>
    <col min="6034" max="6034" width="11.7109375" customWidth="1"/>
    <col min="6035" max="6035" width="10.85546875" customWidth="1"/>
    <col min="6036" max="6036" width="10.5703125" customWidth="1"/>
    <col min="6038" max="6038" width="10.85546875" customWidth="1"/>
    <col min="6041" max="6041" width="12" customWidth="1"/>
    <col min="6285" max="6285" width="6.85546875" customWidth="1"/>
    <col min="6286" max="6286" width="29.85546875" customWidth="1"/>
    <col min="6287" max="6287" width="6.7109375" customWidth="1"/>
    <col min="6288" max="6288" width="32.28515625" customWidth="1"/>
    <col min="6289" max="6289" width="10.85546875" customWidth="1"/>
    <col min="6290" max="6290" width="11.7109375" customWidth="1"/>
    <col min="6291" max="6291" width="10.85546875" customWidth="1"/>
    <col min="6292" max="6292" width="10.5703125" customWidth="1"/>
    <col min="6294" max="6294" width="10.85546875" customWidth="1"/>
    <col min="6297" max="6297" width="12" customWidth="1"/>
    <col min="6541" max="6541" width="6.85546875" customWidth="1"/>
    <col min="6542" max="6542" width="29.85546875" customWidth="1"/>
    <col min="6543" max="6543" width="6.7109375" customWidth="1"/>
    <col min="6544" max="6544" width="32.28515625" customWidth="1"/>
    <col min="6545" max="6545" width="10.85546875" customWidth="1"/>
    <col min="6546" max="6546" width="11.7109375" customWidth="1"/>
    <col min="6547" max="6547" width="10.85546875" customWidth="1"/>
    <col min="6548" max="6548" width="10.5703125" customWidth="1"/>
    <col min="6550" max="6550" width="10.85546875" customWidth="1"/>
    <col min="6553" max="6553" width="12" customWidth="1"/>
    <col min="6797" max="6797" width="6.85546875" customWidth="1"/>
    <col min="6798" max="6798" width="29.85546875" customWidth="1"/>
    <col min="6799" max="6799" width="6.7109375" customWidth="1"/>
    <col min="6800" max="6800" width="32.28515625" customWidth="1"/>
    <col min="6801" max="6801" width="10.85546875" customWidth="1"/>
    <col min="6802" max="6802" width="11.7109375" customWidth="1"/>
    <col min="6803" max="6803" width="10.85546875" customWidth="1"/>
    <col min="6804" max="6804" width="10.5703125" customWidth="1"/>
    <col min="6806" max="6806" width="10.85546875" customWidth="1"/>
    <col min="6809" max="6809" width="12" customWidth="1"/>
    <col min="7053" max="7053" width="6.85546875" customWidth="1"/>
    <col min="7054" max="7054" width="29.85546875" customWidth="1"/>
    <col min="7055" max="7055" width="6.7109375" customWidth="1"/>
    <col min="7056" max="7056" width="32.28515625" customWidth="1"/>
    <col min="7057" max="7057" width="10.85546875" customWidth="1"/>
    <col min="7058" max="7058" width="11.7109375" customWidth="1"/>
    <col min="7059" max="7059" width="10.85546875" customWidth="1"/>
    <col min="7060" max="7060" width="10.5703125" customWidth="1"/>
    <col min="7062" max="7062" width="10.85546875" customWidth="1"/>
    <col min="7065" max="7065" width="12" customWidth="1"/>
    <col min="7309" max="7309" width="6.85546875" customWidth="1"/>
    <col min="7310" max="7310" width="29.85546875" customWidth="1"/>
    <col min="7311" max="7311" width="6.7109375" customWidth="1"/>
    <col min="7312" max="7312" width="32.28515625" customWidth="1"/>
    <col min="7313" max="7313" width="10.85546875" customWidth="1"/>
    <col min="7314" max="7314" width="11.7109375" customWidth="1"/>
    <col min="7315" max="7315" width="10.85546875" customWidth="1"/>
    <col min="7316" max="7316" width="10.5703125" customWidth="1"/>
    <col min="7318" max="7318" width="10.85546875" customWidth="1"/>
    <col min="7321" max="7321" width="12" customWidth="1"/>
    <col min="7565" max="7565" width="6.85546875" customWidth="1"/>
    <col min="7566" max="7566" width="29.85546875" customWidth="1"/>
    <col min="7567" max="7567" width="6.7109375" customWidth="1"/>
    <col min="7568" max="7568" width="32.28515625" customWidth="1"/>
    <col min="7569" max="7569" width="10.85546875" customWidth="1"/>
    <col min="7570" max="7570" width="11.7109375" customWidth="1"/>
    <col min="7571" max="7571" width="10.85546875" customWidth="1"/>
    <col min="7572" max="7572" width="10.5703125" customWidth="1"/>
    <col min="7574" max="7574" width="10.85546875" customWidth="1"/>
    <col min="7577" max="7577" width="12" customWidth="1"/>
    <col min="7821" max="7821" width="6.85546875" customWidth="1"/>
    <col min="7822" max="7822" width="29.85546875" customWidth="1"/>
    <col min="7823" max="7823" width="6.7109375" customWidth="1"/>
    <col min="7824" max="7824" width="32.28515625" customWidth="1"/>
    <col min="7825" max="7825" width="10.85546875" customWidth="1"/>
    <col min="7826" max="7826" width="11.7109375" customWidth="1"/>
    <col min="7827" max="7827" width="10.85546875" customWidth="1"/>
    <col min="7828" max="7828" width="10.5703125" customWidth="1"/>
    <col min="7830" max="7830" width="10.85546875" customWidth="1"/>
    <col min="7833" max="7833" width="12" customWidth="1"/>
    <col min="8077" max="8077" width="6.85546875" customWidth="1"/>
    <col min="8078" max="8078" width="29.85546875" customWidth="1"/>
    <col min="8079" max="8079" width="6.7109375" customWidth="1"/>
    <col min="8080" max="8080" width="32.28515625" customWidth="1"/>
    <col min="8081" max="8081" width="10.85546875" customWidth="1"/>
    <col min="8082" max="8082" width="11.7109375" customWidth="1"/>
    <col min="8083" max="8083" width="10.85546875" customWidth="1"/>
    <col min="8084" max="8084" width="10.5703125" customWidth="1"/>
    <col min="8086" max="8086" width="10.85546875" customWidth="1"/>
    <col min="8089" max="8089" width="12" customWidth="1"/>
    <col min="8333" max="8333" width="6.85546875" customWidth="1"/>
    <col min="8334" max="8334" width="29.85546875" customWidth="1"/>
    <col min="8335" max="8335" width="6.7109375" customWidth="1"/>
    <col min="8336" max="8336" width="32.28515625" customWidth="1"/>
    <col min="8337" max="8337" width="10.85546875" customWidth="1"/>
    <col min="8338" max="8338" width="11.7109375" customWidth="1"/>
    <col min="8339" max="8339" width="10.85546875" customWidth="1"/>
    <col min="8340" max="8340" width="10.5703125" customWidth="1"/>
    <col min="8342" max="8342" width="10.85546875" customWidth="1"/>
    <col min="8345" max="8345" width="12" customWidth="1"/>
    <col min="8589" max="8589" width="6.85546875" customWidth="1"/>
    <col min="8590" max="8590" width="29.85546875" customWidth="1"/>
    <col min="8591" max="8591" width="6.7109375" customWidth="1"/>
    <col min="8592" max="8592" width="32.28515625" customWidth="1"/>
    <col min="8593" max="8593" width="10.85546875" customWidth="1"/>
    <col min="8594" max="8594" width="11.7109375" customWidth="1"/>
    <col min="8595" max="8595" width="10.85546875" customWidth="1"/>
    <col min="8596" max="8596" width="10.5703125" customWidth="1"/>
    <col min="8598" max="8598" width="10.85546875" customWidth="1"/>
    <col min="8601" max="8601" width="12" customWidth="1"/>
    <col min="8845" max="8845" width="6.85546875" customWidth="1"/>
    <col min="8846" max="8846" width="29.85546875" customWidth="1"/>
    <col min="8847" max="8847" width="6.7109375" customWidth="1"/>
    <col min="8848" max="8848" width="32.28515625" customWidth="1"/>
    <col min="8849" max="8849" width="10.85546875" customWidth="1"/>
    <col min="8850" max="8850" width="11.7109375" customWidth="1"/>
    <col min="8851" max="8851" width="10.85546875" customWidth="1"/>
    <col min="8852" max="8852" width="10.5703125" customWidth="1"/>
    <col min="8854" max="8854" width="10.85546875" customWidth="1"/>
    <col min="8857" max="8857" width="12" customWidth="1"/>
    <col min="9101" max="9101" width="6.85546875" customWidth="1"/>
    <col min="9102" max="9102" width="29.85546875" customWidth="1"/>
    <col min="9103" max="9103" width="6.7109375" customWidth="1"/>
    <col min="9104" max="9104" width="32.28515625" customWidth="1"/>
    <col min="9105" max="9105" width="10.85546875" customWidth="1"/>
    <col min="9106" max="9106" width="11.7109375" customWidth="1"/>
    <col min="9107" max="9107" width="10.85546875" customWidth="1"/>
    <col min="9108" max="9108" width="10.5703125" customWidth="1"/>
    <col min="9110" max="9110" width="10.85546875" customWidth="1"/>
    <col min="9113" max="9113" width="12" customWidth="1"/>
    <col min="9357" max="9357" width="6.85546875" customWidth="1"/>
    <col min="9358" max="9358" width="29.85546875" customWidth="1"/>
    <col min="9359" max="9359" width="6.7109375" customWidth="1"/>
    <col min="9360" max="9360" width="32.28515625" customWidth="1"/>
    <col min="9361" max="9361" width="10.85546875" customWidth="1"/>
    <col min="9362" max="9362" width="11.7109375" customWidth="1"/>
    <col min="9363" max="9363" width="10.85546875" customWidth="1"/>
    <col min="9364" max="9364" width="10.5703125" customWidth="1"/>
    <col min="9366" max="9366" width="10.85546875" customWidth="1"/>
    <col min="9369" max="9369" width="12" customWidth="1"/>
    <col min="9613" max="9613" width="6.85546875" customWidth="1"/>
    <col min="9614" max="9614" width="29.85546875" customWidth="1"/>
    <col min="9615" max="9615" width="6.7109375" customWidth="1"/>
    <col min="9616" max="9616" width="32.28515625" customWidth="1"/>
    <col min="9617" max="9617" width="10.85546875" customWidth="1"/>
    <col min="9618" max="9618" width="11.7109375" customWidth="1"/>
    <col min="9619" max="9619" width="10.85546875" customWidth="1"/>
    <col min="9620" max="9620" width="10.5703125" customWidth="1"/>
    <col min="9622" max="9622" width="10.85546875" customWidth="1"/>
    <col min="9625" max="9625" width="12" customWidth="1"/>
    <col min="9869" max="9869" width="6.85546875" customWidth="1"/>
    <col min="9870" max="9870" width="29.85546875" customWidth="1"/>
    <col min="9871" max="9871" width="6.7109375" customWidth="1"/>
    <col min="9872" max="9872" width="32.28515625" customWidth="1"/>
    <col min="9873" max="9873" width="10.85546875" customWidth="1"/>
    <col min="9874" max="9874" width="11.7109375" customWidth="1"/>
    <col min="9875" max="9875" width="10.85546875" customWidth="1"/>
    <col min="9876" max="9876" width="10.5703125" customWidth="1"/>
    <col min="9878" max="9878" width="10.85546875" customWidth="1"/>
    <col min="9881" max="9881" width="12" customWidth="1"/>
    <col min="10125" max="10125" width="6.85546875" customWidth="1"/>
    <col min="10126" max="10126" width="29.85546875" customWidth="1"/>
    <col min="10127" max="10127" width="6.7109375" customWidth="1"/>
    <col min="10128" max="10128" width="32.28515625" customWidth="1"/>
    <col min="10129" max="10129" width="10.85546875" customWidth="1"/>
    <col min="10130" max="10130" width="11.7109375" customWidth="1"/>
    <col min="10131" max="10131" width="10.85546875" customWidth="1"/>
    <col min="10132" max="10132" width="10.5703125" customWidth="1"/>
    <col min="10134" max="10134" width="10.85546875" customWidth="1"/>
    <col min="10137" max="10137" width="12" customWidth="1"/>
    <col min="10381" max="10381" width="6.85546875" customWidth="1"/>
    <col min="10382" max="10382" width="29.85546875" customWidth="1"/>
    <col min="10383" max="10383" width="6.7109375" customWidth="1"/>
    <col min="10384" max="10384" width="32.28515625" customWidth="1"/>
    <col min="10385" max="10385" width="10.85546875" customWidth="1"/>
    <col min="10386" max="10386" width="11.7109375" customWidth="1"/>
    <col min="10387" max="10387" width="10.85546875" customWidth="1"/>
    <col min="10388" max="10388" width="10.5703125" customWidth="1"/>
    <col min="10390" max="10390" width="10.85546875" customWidth="1"/>
    <col min="10393" max="10393" width="12" customWidth="1"/>
    <col min="10637" max="10637" width="6.85546875" customWidth="1"/>
    <col min="10638" max="10638" width="29.85546875" customWidth="1"/>
    <col min="10639" max="10639" width="6.7109375" customWidth="1"/>
    <col min="10640" max="10640" width="32.28515625" customWidth="1"/>
    <col min="10641" max="10641" width="10.85546875" customWidth="1"/>
    <col min="10642" max="10642" width="11.7109375" customWidth="1"/>
    <col min="10643" max="10643" width="10.85546875" customWidth="1"/>
    <col min="10644" max="10644" width="10.5703125" customWidth="1"/>
    <col min="10646" max="10646" width="10.85546875" customWidth="1"/>
    <col min="10649" max="10649" width="12" customWidth="1"/>
    <col min="10893" max="10893" width="6.85546875" customWidth="1"/>
    <col min="10894" max="10894" width="29.85546875" customWidth="1"/>
    <col min="10895" max="10895" width="6.7109375" customWidth="1"/>
    <col min="10896" max="10896" width="32.28515625" customWidth="1"/>
    <col min="10897" max="10897" width="10.85546875" customWidth="1"/>
    <col min="10898" max="10898" width="11.7109375" customWidth="1"/>
    <col min="10899" max="10899" width="10.85546875" customWidth="1"/>
    <col min="10900" max="10900" width="10.5703125" customWidth="1"/>
    <col min="10902" max="10902" width="10.85546875" customWidth="1"/>
    <col min="10905" max="10905" width="12" customWidth="1"/>
    <col min="11149" max="11149" width="6.85546875" customWidth="1"/>
    <col min="11150" max="11150" width="29.85546875" customWidth="1"/>
    <col min="11151" max="11151" width="6.7109375" customWidth="1"/>
    <col min="11152" max="11152" width="32.28515625" customWidth="1"/>
    <col min="11153" max="11153" width="10.85546875" customWidth="1"/>
    <col min="11154" max="11154" width="11.7109375" customWidth="1"/>
    <col min="11155" max="11155" width="10.85546875" customWidth="1"/>
    <col min="11156" max="11156" width="10.5703125" customWidth="1"/>
    <col min="11158" max="11158" width="10.85546875" customWidth="1"/>
    <col min="11161" max="11161" width="12" customWidth="1"/>
    <col min="11405" max="11405" width="6.85546875" customWidth="1"/>
    <col min="11406" max="11406" width="29.85546875" customWidth="1"/>
    <col min="11407" max="11407" width="6.7109375" customWidth="1"/>
    <col min="11408" max="11408" width="32.28515625" customWidth="1"/>
    <col min="11409" max="11409" width="10.85546875" customWidth="1"/>
    <col min="11410" max="11410" width="11.7109375" customWidth="1"/>
    <col min="11411" max="11411" width="10.85546875" customWidth="1"/>
    <col min="11412" max="11412" width="10.5703125" customWidth="1"/>
    <col min="11414" max="11414" width="10.85546875" customWidth="1"/>
    <col min="11417" max="11417" width="12" customWidth="1"/>
    <col min="11661" max="11661" width="6.85546875" customWidth="1"/>
    <col min="11662" max="11662" width="29.85546875" customWidth="1"/>
    <col min="11663" max="11663" width="6.7109375" customWidth="1"/>
    <col min="11664" max="11664" width="32.28515625" customWidth="1"/>
    <col min="11665" max="11665" width="10.85546875" customWidth="1"/>
    <col min="11666" max="11666" width="11.7109375" customWidth="1"/>
    <col min="11667" max="11667" width="10.85546875" customWidth="1"/>
    <col min="11668" max="11668" width="10.5703125" customWidth="1"/>
    <col min="11670" max="11670" width="10.85546875" customWidth="1"/>
    <col min="11673" max="11673" width="12" customWidth="1"/>
    <col min="11917" max="11917" width="6.85546875" customWidth="1"/>
    <col min="11918" max="11918" width="29.85546875" customWidth="1"/>
    <col min="11919" max="11919" width="6.7109375" customWidth="1"/>
    <col min="11920" max="11920" width="32.28515625" customWidth="1"/>
    <col min="11921" max="11921" width="10.85546875" customWidth="1"/>
    <col min="11922" max="11922" width="11.7109375" customWidth="1"/>
    <col min="11923" max="11923" width="10.85546875" customWidth="1"/>
    <col min="11924" max="11924" width="10.5703125" customWidth="1"/>
    <col min="11926" max="11926" width="10.85546875" customWidth="1"/>
    <col min="11929" max="11929" width="12" customWidth="1"/>
    <col min="12173" max="12173" width="6.85546875" customWidth="1"/>
    <col min="12174" max="12174" width="29.85546875" customWidth="1"/>
    <col min="12175" max="12175" width="6.7109375" customWidth="1"/>
    <col min="12176" max="12176" width="32.28515625" customWidth="1"/>
    <col min="12177" max="12177" width="10.85546875" customWidth="1"/>
    <col min="12178" max="12178" width="11.7109375" customWidth="1"/>
    <col min="12179" max="12179" width="10.85546875" customWidth="1"/>
    <col min="12180" max="12180" width="10.5703125" customWidth="1"/>
    <col min="12182" max="12182" width="10.85546875" customWidth="1"/>
    <col min="12185" max="12185" width="12" customWidth="1"/>
    <col min="12429" max="12429" width="6.85546875" customWidth="1"/>
    <col min="12430" max="12430" width="29.85546875" customWidth="1"/>
    <col min="12431" max="12431" width="6.7109375" customWidth="1"/>
    <col min="12432" max="12432" width="32.28515625" customWidth="1"/>
    <col min="12433" max="12433" width="10.85546875" customWidth="1"/>
    <col min="12434" max="12434" width="11.7109375" customWidth="1"/>
    <col min="12435" max="12435" width="10.85546875" customWidth="1"/>
    <col min="12436" max="12436" width="10.5703125" customWidth="1"/>
    <col min="12438" max="12438" width="10.85546875" customWidth="1"/>
    <col min="12441" max="12441" width="12" customWidth="1"/>
    <col min="12685" max="12685" width="6.85546875" customWidth="1"/>
    <col min="12686" max="12686" width="29.85546875" customWidth="1"/>
    <col min="12687" max="12687" width="6.7109375" customWidth="1"/>
    <col min="12688" max="12688" width="32.28515625" customWidth="1"/>
    <col min="12689" max="12689" width="10.85546875" customWidth="1"/>
    <col min="12690" max="12690" width="11.7109375" customWidth="1"/>
    <col min="12691" max="12691" width="10.85546875" customWidth="1"/>
    <col min="12692" max="12692" width="10.5703125" customWidth="1"/>
    <col min="12694" max="12694" width="10.85546875" customWidth="1"/>
    <col min="12697" max="12697" width="12" customWidth="1"/>
    <col min="12941" max="12941" width="6.85546875" customWidth="1"/>
    <col min="12942" max="12942" width="29.85546875" customWidth="1"/>
    <col min="12943" max="12943" width="6.7109375" customWidth="1"/>
    <col min="12944" max="12944" width="32.28515625" customWidth="1"/>
    <col min="12945" max="12945" width="10.85546875" customWidth="1"/>
    <col min="12946" max="12946" width="11.7109375" customWidth="1"/>
    <col min="12947" max="12947" width="10.85546875" customWidth="1"/>
    <col min="12948" max="12948" width="10.5703125" customWidth="1"/>
    <col min="12950" max="12950" width="10.85546875" customWidth="1"/>
    <col min="12953" max="12953" width="12" customWidth="1"/>
    <col min="13197" max="13197" width="6.85546875" customWidth="1"/>
    <col min="13198" max="13198" width="29.85546875" customWidth="1"/>
    <col min="13199" max="13199" width="6.7109375" customWidth="1"/>
    <col min="13200" max="13200" width="32.28515625" customWidth="1"/>
    <col min="13201" max="13201" width="10.85546875" customWidth="1"/>
    <col min="13202" max="13202" width="11.7109375" customWidth="1"/>
    <col min="13203" max="13203" width="10.85546875" customWidth="1"/>
    <col min="13204" max="13204" width="10.5703125" customWidth="1"/>
    <col min="13206" max="13206" width="10.85546875" customWidth="1"/>
    <col min="13209" max="13209" width="12" customWidth="1"/>
    <col min="13453" max="13453" width="6.85546875" customWidth="1"/>
    <col min="13454" max="13454" width="29.85546875" customWidth="1"/>
    <col min="13455" max="13455" width="6.7109375" customWidth="1"/>
    <col min="13456" max="13456" width="32.28515625" customWidth="1"/>
    <col min="13457" max="13457" width="10.85546875" customWidth="1"/>
    <col min="13458" max="13458" width="11.7109375" customWidth="1"/>
    <col min="13459" max="13459" width="10.85546875" customWidth="1"/>
    <col min="13460" max="13460" width="10.5703125" customWidth="1"/>
    <col min="13462" max="13462" width="10.85546875" customWidth="1"/>
    <col min="13465" max="13465" width="12" customWidth="1"/>
    <col min="13709" max="13709" width="6.85546875" customWidth="1"/>
    <col min="13710" max="13710" width="29.85546875" customWidth="1"/>
    <col min="13711" max="13711" width="6.7109375" customWidth="1"/>
    <col min="13712" max="13712" width="32.28515625" customWidth="1"/>
    <col min="13713" max="13713" width="10.85546875" customWidth="1"/>
    <col min="13714" max="13714" width="11.7109375" customWidth="1"/>
    <col min="13715" max="13715" width="10.85546875" customWidth="1"/>
    <col min="13716" max="13716" width="10.5703125" customWidth="1"/>
    <col min="13718" max="13718" width="10.85546875" customWidth="1"/>
    <col min="13721" max="13721" width="12" customWidth="1"/>
    <col min="13965" max="13965" width="6.85546875" customWidth="1"/>
    <col min="13966" max="13966" width="29.85546875" customWidth="1"/>
    <col min="13967" max="13967" width="6.7109375" customWidth="1"/>
    <col min="13968" max="13968" width="32.28515625" customWidth="1"/>
    <col min="13969" max="13969" width="10.85546875" customWidth="1"/>
    <col min="13970" max="13970" width="11.7109375" customWidth="1"/>
    <col min="13971" max="13971" width="10.85546875" customWidth="1"/>
    <col min="13972" max="13972" width="10.5703125" customWidth="1"/>
    <col min="13974" max="13974" width="10.85546875" customWidth="1"/>
    <col min="13977" max="13977" width="12" customWidth="1"/>
    <col min="14221" max="14221" width="6.85546875" customWidth="1"/>
    <col min="14222" max="14222" width="29.85546875" customWidth="1"/>
    <col min="14223" max="14223" width="6.7109375" customWidth="1"/>
    <col min="14224" max="14224" width="32.28515625" customWidth="1"/>
    <col min="14225" max="14225" width="10.85546875" customWidth="1"/>
    <col min="14226" max="14226" width="11.7109375" customWidth="1"/>
    <col min="14227" max="14227" width="10.85546875" customWidth="1"/>
    <col min="14228" max="14228" width="10.5703125" customWidth="1"/>
    <col min="14230" max="14230" width="10.85546875" customWidth="1"/>
    <col min="14233" max="14233" width="12" customWidth="1"/>
    <col min="14477" max="14477" width="6.85546875" customWidth="1"/>
    <col min="14478" max="14478" width="29.85546875" customWidth="1"/>
    <col min="14479" max="14479" width="6.7109375" customWidth="1"/>
    <col min="14480" max="14480" width="32.28515625" customWidth="1"/>
    <col min="14481" max="14481" width="10.85546875" customWidth="1"/>
    <col min="14482" max="14482" width="11.7109375" customWidth="1"/>
    <col min="14483" max="14483" width="10.85546875" customWidth="1"/>
    <col min="14484" max="14484" width="10.5703125" customWidth="1"/>
    <col min="14486" max="14486" width="10.85546875" customWidth="1"/>
    <col min="14489" max="14489" width="12" customWidth="1"/>
    <col min="14733" max="14733" width="6.85546875" customWidth="1"/>
    <col min="14734" max="14734" width="29.85546875" customWidth="1"/>
    <col min="14735" max="14735" width="6.7109375" customWidth="1"/>
    <col min="14736" max="14736" width="32.28515625" customWidth="1"/>
    <col min="14737" max="14737" width="10.85546875" customWidth="1"/>
    <col min="14738" max="14738" width="11.7109375" customWidth="1"/>
    <col min="14739" max="14739" width="10.85546875" customWidth="1"/>
    <col min="14740" max="14740" width="10.5703125" customWidth="1"/>
    <col min="14742" max="14742" width="10.85546875" customWidth="1"/>
    <col min="14745" max="14745" width="12" customWidth="1"/>
    <col min="14989" max="14989" width="6.85546875" customWidth="1"/>
    <col min="14990" max="14990" width="29.85546875" customWidth="1"/>
    <col min="14991" max="14991" width="6.7109375" customWidth="1"/>
    <col min="14992" max="14992" width="32.28515625" customWidth="1"/>
    <col min="14993" max="14993" width="10.85546875" customWidth="1"/>
    <col min="14994" max="14994" width="11.7109375" customWidth="1"/>
    <col min="14995" max="14995" width="10.85546875" customWidth="1"/>
    <col min="14996" max="14996" width="10.5703125" customWidth="1"/>
    <col min="14998" max="14998" width="10.85546875" customWidth="1"/>
    <col min="15001" max="15001" width="12" customWidth="1"/>
    <col min="15245" max="15245" width="6.85546875" customWidth="1"/>
    <col min="15246" max="15246" width="29.85546875" customWidth="1"/>
    <col min="15247" max="15247" width="6.7109375" customWidth="1"/>
    <col min="15248" max="15248" width="32.28515625" customWidth="1"/>
    <col min="15249" max="15249" width="10.85546875" customWidth="1"/>
    <col min="15250" max="15250" width="11.7109375" customWidth="1"/>
    <col min="15251" max="15251" width="10.85546875" customWidth="1"/>
    <col min="15252" max="15252" width="10.5703125" customWidth="1"/>
    <col min="15254" max="15254" width="10.85546875" customWidth="1"/>
    <col min="15257" max="15257" width="12" customWidth="1"/>
    <col min="15501" max="15501" width="6.85546875" customWidth="1"/>
    <col min="15502" max="15502" width="29.85546875" customWidth="1"/>
    <col min="15503" max="15503" width="6.7109375" customWidth="1"/>
    <col min="15504" max="15504" width="32.28515625" customWidth="1"/>
    <col min="15505" max="15505" width="10.85546875" customWidth="1"/>
    <col min="15506" max="15506" width="11.7109375" customWidth="1"/>
    <col min="15507" max="15507" width="10.85546875" customWidth="1"/>
    <col min="15508" max="15508" width="10.5703125" customWidth="1"/>
    <col min="15510" max="15510" width="10.85546875" customWidth="1"/>
    <col min="15513" max="15513" width="12" customWidth="1"/>
    <col min="15757" max="15757" width="6.85546875" customWidth="1"/>
    <col min="15758" max="15758" width="29.85546875" customWidth="1"/>
    <col min="15759" max="15759" width="6.7109375" customWidth="1"/>
    <col min="15760" max="15760" width="32.28515625" customWidth="1"/>
    <col min="15761" max="15761" width="10.85546875" customWidth="1"/>
    <col min="15762" max="15762" width="11.7109375" customWidth="1"/>
    <col min="15763" max="15763" width="10.85546875" customWidth="1"/>
    <col min="15764" max="15764" width="10.5703125" customWidth="1"/>
    <col min="15766" max="15766" width="10.85546875" customWidth="1"/>
    <col min="15769" max="15769" width="12" customWidth="1"/>
    <col min="16013" max="16013" width="6.85546875" customWidth="1"/>
    <col min="16014" max="16014" width="29.85546875" customWidth="1"/>
    <col min="16015" max="16015" width="6.7109375" customWidth="1"/>
    <col min="16016" max="16016" width="32.28515625" customWidth="1"/>
    <col min="16017" max="16017" width="10.85546875" customWidth="1"/>
    <col min="16018" max="16018" width="11.7109375" customWidth="1"/>
    <col min="16019" max="16019" width="10.85546875" customWidth="1"/>
    <col min="16020" max="16020" width="10.5703125" customWidth="1"/>
    <col min="16022" max="16022" width="10.85546875" customWidth="1"/>
    <col min="16025" max="16025" width="12" customWidth="1"/>
  </cols>
  <sheetData>
    <row r="1" spans="1:44" ht="15" x14ac:dyDescent="0.25">
      <c r="A1" s="46" t="s">
        <v>2</v>
      </c>
      <c r="B1" s="46"/>
      <c r="C1" s="38"/>
      <c r="D1" s="46"/>
      <c r="E1" s="46"/>
      <c r="F1" s="61"/>
      <c r="G1" s="61"/>
      <c r="H1" s="61"/>
      <c r="AB1" s="48"/>
      <c r="AC1" s="48"/>
      <c r="AD1" s="48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15" x14ac:dyDescent="0.25">
      <c r="A2" s="46" t="s">
        <v>3</v>
      </c>
      <c r="B2" s="46"/>
      <c r="C2" s="38"/>
      <c r="D2" s="46"/>
      <c r="E2" s="46"/>
      <c r="F2" s="61"/>
      <c r="G2" s="61"/>
      <c r="H2" s="61"/>
    </row>
    <row r="3" spans="1:44" ht="12.75" customHeight="1" x14ac:dyDescent="0.25">
      <c r="A3" s="972" t="s">
        <v>4</v>
      </c>
      <c r="B3" s="972"/>
      <c r="C3" s="972"/>
      <c r="D3" s="972"/>
      <c r="E3" s="972"/>
      <c r="F3" s="61"/>
      <c r="G3" s="61"/>
      <c r="H3" s="61"/>
      <c r="AC3" s="380"/>
    </row>
    <row r="4" spans="1:44" ht="15" x14ac:dyDescent="0.25">
      <c r="A4" s="60"/>
      <c r="B4" s="46"/>
      <c r="C4" s="46"/>
      <c r="D4" s="46"/>
      <c r="E4" s="46"/>
      <c r="F4" s="61"/>
      <c r="G4" s="61"/>
      <c r="H4" s="61"/>
      <c r="O4" s="49"/>
      <c r="P4" s="90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  <c r="AF4" s="900"/>
      <c r="AG4" s="50"/>
      <c r="AH4" s="50"/>
      <c r="AI4" s="50"/>
      <c r="AJ4" s="50"/>
      <c r="AK4" s="50"/>
    </row>
    <row r="5" spans="1:44" ht="16.5" thickBot="1" x14ac:dyDescent="0.3">
      <c r="A5" s="127" t="s">
        <v>841</v>
      </c>
      <c r="B5" s="475"/>
      <c r="C5" s="475"/>
      <c r="D5" s="475"/>
      <c r="E5" s="474"/>
      <c r="F5" s="551"/>
      <c r="G5" s="551"/>
      <c r="H5" s="47"/>
      <c r="O5" s="322"/>
      <c r="P5" s="707" t="s">
        <v>832</v>
      </c>
      <c r="Q5" s="49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49"/>
      <c r="AC5" s="49"/>
      <c r="AD5" s="49"/>
      <c r="AE5" s="50"/>
      <c r="AF5" s="707" t="s">
        <v>832</v>
      </c>
      <c r="AG5" s="50"/>
      <c r="AH5" s="50"/>
      <c r="AI5" s="50"/>
      <c r="AJ5" s="50"/>
      <c r="AK5" s="50"/>
    </row>
    <row r="6" spans="1:44" ht="15" customHeight="1" thickBot="1" x14ac:dyDescent="0.3">
      <c r="A6" s="390"/>
      <c r="B6" s="391"/>
      <c r="C6" s="392"/>
      <c r="D6" s="392"/>
      <c r="E6" s="391"/>
      <c r="F6" s="391"/>
      <c r="G6" s="47"/>
      <c r="H6" s="61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4" ht="16.5" customHeight="1" thickBot="1" x14ac:dyDescent="0.3">
      <c r="A7" s="60"/>
      <c r="B7" s="5"/>
      <c r="D7" s="9"/>
      <c r="E7" s="5"/>
      <c r="F7" s="61"/>
      <c r="G7" s="61"/>
      <c r="H7" s="61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4" ht="15" customHeight="1" x14ac:dyDescent="0.25">
      <c r="A8" s="87"/>
      <c r="B8" s="62"/>
      <c r="C8" s="62"/>
      <c r="D8" s="62"/>
      <c r="E8" s="62"/>
      <c r="F8" s="62"/>
      <c r="G8" s="62"/>
      <c r="H8" s="62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4" ht="19.5" customHeight="1" thickBot="1" x14ac:dyDescent="0.25">
      <c r="A9" s="10" t="s">
        <v>748</v>
      </c>
      <c r="D9" s="10"/>
      <c r="F9" s="51"/>
      <c r="G9" s="52"/>
      <c r="H9" s="52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4" ht="23.25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90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4" s="91" customFormat="1" ht="11.25" customHeight="1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93" t="s">
        <v>517</v>
      </c>
      <c r="H11" s="94" t="s">
        <v>725</v>
      </c>
      <c r="I11" s="575" t="s">
        <v>254</v>
      </c>
      <c r="J11" s="533" t="s">
        <v>255</v>
      </c>
      <c r="K11" s="533" t="s">
        <v>256</v>
      </c>
      <c r="L11" s="533" t="s">
        <v>257</v>
      </c>
      <c r="M11" s="533" t="s">
        <v>804</v>
      </c>
      <c r="N11" s="576" t="s">
        <v>827</v>
      </c>
      <c r="O11" s="534" t="s">
        <v>776</v>
      </c>
      <c r="P11" s="533" t="s">
        <v>789</v>
      </c>
      <c r="Q11" s="533" t="s">
        <v>776</v>
      </c>
      <c r="R11" s="533" t="s">
        <v>776</v>
      </c>
      <c r="S11" s="533" t="s">
        <v>789</v>
      </c>
      <c r="T11" s="533" t="s">
        <v>789</v>
      </c>
      <c r="U11" s="533" t="s">
        <v>776</v>
      </c>
      <c r="V11" s="534" t="s">
        <v>777</v>
      </c>
      <c r="W11" s="533" t="s">
        <v>777</v>
      </c>
      <c r="X11" s="533" t="s">
        <v>777</v>
      </c>
      <c r="Y11" s="533" t="s">
        <v>777</v>
      </c>
      <c r="Z11" s="534" t="s">
        <v>775</v>
      </c>
      <c r="AA11" s="533" t="s">
        <v>273</v>
      </c>
      <c r="AB11" s="533" t="s">
        <v>274</v>
      </c>
      <c r="AC11" s="533" t="s">
        <v>803</v>
      </c>
      <c r="AD11" s="580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34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827</v>
      </c>
    </row>
    <row r="12" spans="1:44" s="152" customFormat="1" ht="14.1" customHeight="1" x14ac:dyDescent="0.2">
      <c r="A12" s="428">
        <v>1</v>
      </c>
      <c r="B12" s="429">
        <v>4476</v>
      </c>
      <c r="C12" s="429">
        <v>600075184</v>
      </c>
      <c r="D12" s="429">
        <v>70200815</v>
      </c>
      <c r="E12" s="426" t="s">
        <v>140</v>
      </c>
      <c r="F12" s="429">
        <v>3233</v>
      </c>
      <c r="G12" s="430" t="s">
        <v>283</v>
      </c>
      <c r="H12" s="564" t="s">
        <v>263</v>
      </c>
      <c r="I12" s="585">
        <f>SUM(J12:L12)</f>
        <v>5687518</v>
      </c>
      <c r="J12" s="524">
        <v>4219227</v>
      </c>
      <c r="K12" s="781">
        <f>ROUND(J12*33.8%,0)</f>
        <v>1426099</v>
      </c>
      <c r="L12" s="781">
        <f>ROUND(J12*1%,0)</f>
        <v>42192</v>
      </c>
      <c r="M12" s="781">
        <v>0</v>
      </c>
      <c r="N12" s="708">
        <v>7.14</v>
      </c>
      <c r="O12" s="577">
        <f>V12*-1</f>
        <v>-270000</v>
      </c>
      <c r="P12" s="578">
        <v>0</v>
      </c>
      <c r="Q12" s="578">
        <v>0</v>
      </c>
      <c r="R12" s="578">
        <v>0</v>
      </c>
      <c r="S12" s="578">
        <v>0</v>
      </c>
      <c r="T12" s="578">
        <v>0</v>
      </c>
      <c r="U12" s="578">
        <f>O12+P12+Q12+R12+S12+T12</f>
        <v>-270000</v>
      </c>
      <c r="V12" s="578">
        <v>270000</v>
      </c>
      <c r="W12" s="578">
        <v>0</v>
      </c>
      <c r="X12" s="578">
        <v>0</v>
      </c>
      <c r="Y12" s="578">
        <f>V12+W12+X12</f>
        <v>270000</v>
      </c>
      <c r="Z12" s="578">
        <f>U12+Y12</f>
        <v>0</v>
      </c>
      <c r="AA12" s="581">
        <f>ROUND((U12+Y12)*33.8%,0)</f>
        <v>0</v>
      </c>
      <c r="AB12" s="581">
        <f>ROUND(U12*1%,0)</f>
        <v>-2700</v>
      </c>
      <c r="AC12" s="578">
        <v>0</v>
      </c>
      <c r="AD12" s="622">
        <f>Z12+AA12+AB12+AC12</f>
        <v>-2700</v>
      </c>
      <c r="AE12" s="624">
        <v>-0.56000000000000005</v>
      </c>
      <c r="AF12" s="525">
        <v>0</v>
      </c>
      <c r="AG12" s="525">
        <v>0</v>
      </c>
      <c r="AH12" s="525">
        <v>0</v>
      </c>
      <c r="AI12" s="525">
        <v>0</v>
      </c>
      <c r="AJ12" s="525">
        <v>0</v>
      </c>
      <c r="AK12" s="625">
        <f>SUM(AE12:AJ12)</f>
        <v>-0.56000000000000005</v>
      </c>
      <c r="AL12" s="577">
        <f>I12+AD12</f>
        <v>5684818</v>
      </c>
      <c r="AM12" s="578">
        <f>J12+U12</f>
        <v>3949227</v>
      </c>
      <c r="AN12" s="578">
        <f>Y12</f>
        <v>270000</v>
      </c>
      <c r="AO12" s="578">
        <f>K12+AA12</f>
        <v>1426099</v>
      </c>
      <c r="AP12" s="578">
        <f>L12+AB12</f>
        <v>39492</v>
      </c>
      <c r="AQ12" s="578">
        <v>0</v>
      </c>
      <c r="AR12" s="582">
        <f>N12+AK12</f>
        <v>6.58</v>
      </c>
    </row>
    <row r="13" spans="1:44" s="152" customFormat="1" x14ac:dyDescent="0.2">
      <c r="A13" s="107">
        <v>1</v>
      </c>
      <c r="B13" s="15">
        <v>4476</v>
      </c>
      <c r="C13" s="15">
        <v>600075184</v>
      </c>
      <c r="D13" s="15">
        <v>70200815</v>
      </c>
      <c r="E13" s="116" t="s">
        <v>141</v>
      </c>
      <c r="F13" s="15"/>
      <c r="G13" s="106"/>
      <c r="H13" s="560"/>
      <c r="I13" s="794">
        <f t="shared" ref="I13:AR13" si="0">SUM(I12)</f>
        <v>5687518</v>
      </c>
      <c r="J13" s="343">
        <f t="shared" si="0"/>
        <v>4219227</v>
      </c>
      <c r="K13" s="343">
        <f t="shared" si="0"/>
        <v>1426099</v>
      </c>
      <c r="L13" s="343">
        <f t="shared" si="0"/>
        <v>42192</v>
      </c>
      <c r="M13" s="343">
        <f t="shared" si="0"/>
        <v>0</v>
      </c>
      <c r="N13" s="35">
        <f t="shared" si="0"/>
        <v>7.14</v>
      </c>
      <c r="O13" s="346">
        <f t="shared" si="0"/>
        <v>-270000</v>
      </c>
      <c r="P13" s="343">
        <f t="shared" si="0"/>
        <v>0</v>
      </c>
      <c r="Q13" s="343">
        <f t="shared" si="0"/>
        <v>0</v>
      </c>
      <c r="R13" s="343">
        <f t="shared" si="0"/>
        <v>0</v>
      </c>
      <c r="S13" s="343">
        <f t="shared" si="0"/>
        <v>0</v>
      </c>
      <c r="T13" s="343">
        <f t="shared" si="0"/>
        <v>0</v>
      </c>
      <c r="U13" s="343">
        <f t="shared" si="0"/>
        <v>-270000</v>
      </c>
      <c r="V13" s="343">
        <f t="shared" si="0"/>
        <v>270000</v>
      </c>
      <c r="W13" s="343">
        <f t="shared" si="0"/>
        <v>0</v>
      </c>
      <c r="X13" s="343">
        <f t="shared" si="0"/>
        <v>0</v>
      </c>
      <c r="Y13" s="343">
        <f t="shared" si="0"/>
        <v>270000</v>
      </c>
      <c r="Z13" s="343">
        <f t="shared" si="0"/>
        <v>0</v>
      </c>
      <c r="AA13" s="343">
        <f t="shared" si="0"/>
        <v>0</v>
      </c>
      <c r="AB13" s="343">
        <f t="shared" si="0"/>
        <v>-2700</v>
      </c>
      <c r="AC13" s="343">
        <f t="shared" si="0"/>
        <v>0</v>
      </c>
      <c r="AD13" s="799">
        <f t="shared" si="0"/>
        <v>-2700</v>
      </c>
      <c r="AE13" s="803">
        <f t="shared" si="0"/>
        <v>-0.56000000000000005</v>
      </c>
      <c r="AF13" s="344">
        <f t="shared" si="0"/>
        <v>0</v>
      </c>
      <c r="AG13" s="344">
        <f t="shared" si="0"/>
        <v>0</v>
      </c>
      <c r="AH13" s="344">
        <f t="shared" si="0"/>
        <v>0</v>
      </c>
      <c r="AI13" s="344">
        <f t="shared" si="0"/>
        <v>0</v>
      </c>
      <c r="AJ13" s="344">
        <f t="shared" si="0"/>
        <v>0</v>
      </c>
      <c r="AK13" s="35">
        <f t="shared" si="0"/>
        <v>-0.56000000000000005</v>
      </c>
      <c r="AL13" s="346">
        <f t="shared" si="0"/>
        <v>5684818</v>
      </c>
      <c r="AM13" s="343">
        <f t="shared" si="0"/>
        <v>3949227</v>
      </c>
      <c r="AN13" s="343">
        <f t="shared" si="0"/>
        <v>270000</v>
      </c>
      <c r="AO13" s="343">
        <f t="shared" si="0"/>
        <v>1426099</v>
      </c>
      <c r="AP13" s="343">
        <f t="shared" si="0"/>
        <v>39492</v>
      </c>
      <c r="AQ13" s="343">
        <f t="shared" si="0"/>
        <v>0</v>
      </c>
      <c r="AR13" s="344">
        <f t="shared" si="0"/>
        <v>6.58</v>
      </c>
    </row>
    <row r="14" spans="1:44" s="152" customFormat="1" x14ac:dyDescent="0.2">
      <c r="A14" s="140">
        <v>2</v>
      </c>
      <c r="B14" s="141">
        <v>4411</v>
      </c>
      <c r="C14" s="141">
        <v>600074340</v>
      </c>
      <c r="D14" s="141">
        <v>70982121</v>
      </c>
      <c r="E14" s="139" t="s">
        <v>142</v>
      </c>
      <c r="F14" s="141">
        <v>3111</v>
      </c>
      <c r="G14" s="117" t="s">
        <v>277</v>
      </c>
      <c r="H14" s="565" t="s">
        <v>262</v>
      </c>
      <c r="I14" s="586">
        <f>SUM(J14:L14)</f>
        <v>8320602</v>
      </c>
      <c r="J14" s="490">
        <v>6172553</v>
      </c>
      <c r="K14" s="55">
        <f>ROUND(J14*33.8%,0)</f>
        <v>2086323</v>
      </c>
      <c r="L14" s="55">
        <f>ROUND(J14*1%,0)</f>
        <v>61726</v>
      </c>
      <c r="M14" s="55">
        <v>0</v>
      </c>
      <c r="N14" s="631">
        <v>10</v>
      </c>
      <c r="O14" s="445">
        <f>V14*-1</f>
        <v>-72000</v>
      </c>
      <c r="P14" s="325">
        <v>0</v>
      </c>
      <c r="Q14" s="325">
        <v>0</v>
      </c>
      <c r="R14" s="325">
        <v>0</v>
      </c>
      <c r="S14" s="325">
        <v>0</v>
      </c>
      <c r="T14" s="325">
        <v>0</v>
      </c>
      <c r="U14" s="492">
        <f t="shared" ref="U14:U15" si="1">O14+P14+Q14+R14+S14+T14</f>
        <v>-72000</v>
      </c>
      <c r="V14" s="325">
        <v>72000</v>
      </c>
      <c r="W14" s="325">
        <v>0</v>
      </c>
      <c r="X14" s="325">
        <v>0</v>
      </c>
      <c r="Y14" s="492">
        <f t="shared" ref="Y14:Y15" si="2">V14+W14+X14</f>
        <v>72000</v>
      </c>
      <c r="Z14" s="492">
        <f t="shared" ref="Z14:Z15" si="3">U14+Y14</f>
        <v>0</v>
      </c>
      <c r="AA14" s="494">
        <f t="shared" ref="AA14:AA15" si="4">ROUND((U14+Y14)*33.8%,0)</f>
        <v>0</v>
      </c>
      <c r="AB14" s="494">
        <f t="shared" ref="AB14:AB15" si="5">ROUND(U14*1%,0)</f>
        <v>-720</v>
      </c>
      <c r="AC14" s="492">
        <v>0</v>
      </c>
      <c r="AD14" s="789">
        <f t="shared" ref="AD14:AD15" si="6">Z14+AA14+AB14+AC14</f>
        <v>-720</v>
      </c>
      <c r="AE14" s="715">
        <v>0</v>
      </c>
      <c r="AF14" s="326">
        <v>0</v>
      </c>
      <c r="AG14" s="326">
        <v>0</v>
      </c>
      <c r="AH14" s="326">
        <v>0</v>
      </c>
      <c r="AI14" s="326">
        <v>0</v>
      </c>
      <c r="AJ14" s="326">
        <v>0</v>
      </c>
      <c r="AK14" s="626">
        <f t="shared" ref="AK14:AK15" si="7">SUM(AE14:AJ14)</f>
        <v>0</v>
      </c>
      <c r="AL14" s="493">
        <f>I14+AD14</f>
        <v>8319882</v>
      </c>
      <c r="AM14" s="492">
        <f>J14+U14</f>
        <v>6100553</v>
      </c>
      <c r="AN14" s="492">
        <f t="shared" ref="AN14:AN15" si="8">Y14</f>
        <v>72000</v>
      </c>
      <c r="AO14" s="492">
        <f>K14+AA14</f>
        <v>2086323</v>
      </c>
      <c r="AP14" s="492">
        <f>L14+AB14</f>
        <v>61006</v>
      </c>
      <c r="AQ14" s="492">
        <v>0</v>
      </c>
      <c r="AR14" s="491">
        <f t="shared" ref="AR14:AR15" si="9">N14+AK14</f>
        <v>10</v>
      </c>
    </row>
    <row r="15" spans="1:44" s="152" customFormat="1" x14ac:dyDescent="0.2">
      <c r="A15" s="140">
        <v>2</v>
      </c>
      <c r="B15" s="141">
        <v>4411</v>
      </c>
      <c r="C15" s="141">
        <v>600074340</v>
      </c>
      <c r="D15" s="141">
        <v>70982121</v>
      </c>
      <c r="E15" s="139" t="s">
        <v>142</v>
      </c>
      <c r="F15" s="141">
        <v>3111</v>
      </c>
      <c r="G15" s="117" t="s">
        <v>278</v>
      </c>
      <c r="H15" s="565" t="s">
        <v>263</v>
      </c>
      <c r="I15" s="586">
        <f>SUM(J15:L15)</f>
        <v>0</v>
      </c>
      <c r="J15" s="490">
        <v>0</v>
      </c>
      <c r="K15" s="55">
        <f>ROUND(J15*33.8%,0)</f>
        <v>0</v>
      </c>
      <c r="L15" s="55">
        <f>ROUND(J15*1%,0)</f>
        <v>0</v>
      </c>
      <c r="M15" s="55">
        <v>0</v>
      </c>
      <c r="N15" s="631">
        <v>0</v>
      </c>
      <c r="O15" s="440">
        <f>V15*-1</f>
        <v>0</v>
      </c>
      <c r="P15" s="325">
        <v>1190541</v>
      </c>
      <c r="Q15" s="325">
        <v>0</v>
      </c>
      <c r="R15" s="325">
        <v>0</v>
      </c>
      <c r="S15" s="325">
        <v>0</v>
      </c>
      <c r="T15" s="325">
        <v>0</v>
      </c>
      <c r="U15" s="492">
        <f t="shared" si="1"/>
        <v>1190541</v>
      </c>
      <c r="V15" s="325">
        <v>0</v>
      </c>
      <c r="W15" s="325">
        <v>0</v>
      </c>
      <c r="X15" s="325">
        <v>0</v>
      </c>
      <c r="Y15" s="492">
        <f t="shared" si="2"/>
        <v>0</v>
      </c>
      <c r="Z15" s="492">
        <f t="shared" si="3"/>
        <v>1190541</v>
      </c>
      <c r="AA15" s="494">
        <f t="shared" si="4"/>
        <v>402403</v>
      </c>
      <c r="AB15" s="494">
        <f t="shared" si="5"/>
        <v>11905</v>
      </c>
      <c r="AC15" s="492">
        <v>0</v>
      </c>
      <c r="AD15" s="789">
        <f t="shared" si="6"/>
        <v>1604849</v>
      </c>
      <c r="AE15" s="715">
        <v>0</v>
      </c>
      <c r="AF15" s="326">
        <v>3</v>
      </c>
      <c r="AG15" s="326">
        <v>0</v>
      </c>
      <c r="AH15" s="326">
        <v>0</v>
      </c>
      <c r="AI15" s="326">
        <v>0</v>
      </c>
      <c r="AJ15" s="326">
        <v>0</v>
      </c>
      <c r="AK15" s="626">
        <f t="shared" si="7"/>
        <v>3</v>
      </c>
      <c r="AL15" s="493">
        <f>I15+AD15</f>
        <v>1604849</v>
      </c>
      <c r="AM15" s="492">
        <f>J15+U15</f>
        <v>1190541</v>
      </c>
      <c r="AN15" s="492">
        <f t="shared" si="8"/>
        <v>0</v>
      </c>
      <c r="AO15" s="492">
        <f>K15+AA15</f>
        <v>402403</v>
      </c>
      <c r="AP15" s="492">
        <f>L15+AB15</f>
        <v>11905</v>
      </c>
      <c r="AQ15" s="492">
        <v>0</v>
      </c>
      <c r="AR15" s="491">
        <f t="shared" si="9"/>
        <v>3</v>
      </c>
    </row>
    <row r="16" spans="1:44" s="152" customFormat="1" x14ac:dyDescent="0.2">
      <c r="A16" s="107">
        <v>2</v>
      </c>
      <c r="B16" s="15">
        <v>4411</v>
      </c>
      <c r="C16" s="15">
        <v>600074340</v>
      </c>
      <c r="D16" s="15">
        <v>70982121</v>
      </c>
      <c r="E16" s="116" t="s">
        <v>143</v>
      </c>
      <c r="F16" s="15"/>
      <c r="G16" s="106"/>
      <c r="H16" s="560"/>
      <c r="I16" s="794">
        <f t="shared" ref="I16:AR16" si="10">SUM(I14:I15)</f>
        <v>8320602</v>
      </c>
      <c r="J16" s="343">
        <f t="shared" si="10"/>
        <v>6172553</v>
      </c>
      <c r="K16" s="343">
        <f t="shared" si="10"/>
        <v>2086323</v>
      </c>
      <c r="L16" s="343">
        <f t="shared" si="10"/>
        <v>61726</v>
      </c>
      <c r="M16" s="343">
        <f t="shared" si="10"/>
        <v>0</v>
      </c>
      <c r="N16" s="35">
        <f t="shared" si="10"/>
        <v>10</v>
      </c>
      <c r="O16" s="346">
        <f t="shared" si="10"/>
        <v>-72000</v>
      </c>
      <c r="P16" s="343">
        <f t="shared" si="10"/>
        <v>1190541</v>
      </c>
      <c r="Q16" s="343">
        <f t="shared" si="10"/>
        <v>0</v>
      </c>
      <c r="R16" s="343">
        <f t="shared" si="10"/>
        <v>0</v>
      </c>
      <c r="S16" s="343">
        <f t="shared" si="10"/>
        <v>0</v>
      </c>
      <c r="T16" s="343">
        <f t="shared" si="10"/>
        <v>0</v>
      </c>
      <c r="U16" s="343">
        <f t="shared" si="10"/>
        <v>1118541</v>
      </c>
      <c r="V16" s="343">
        <f t="shared" si="10"/>
        <v>72000</v>
      </c>
      <c r="W16" s="343">
        <f t="shared" si="10"/>
        <v>0</v>
      </c>
      <c r="X16" s="343">
        <f t="shared" si="10"/>
        <v>0</v>
      </c>
      <c r="Y16" s="343">
        <f t="shared" si="10"/>
        <v>72000</v>
      </c>
      <c r="Z16" s="343">
        <f t="shared" si="10"/>
        <v>1190541</v>
      </c>
      <c r="AA16" s="343">
        <f t="shared" si="10"/>
        <v>402403</v>
      </c>
      <c r="AB16" s="343">
        <f t="shared" si="10"/>
        <v>11185</v>
      </c>
      <c r="AC16" s="343">
        <f t="shared" si="10"/>
        <v>0</v>
      </c>
      <c r="AD16" s="799">
        <f t="shared" si="10"/>
        <v>1604129</v>
      </c>
      <c r="AE16" s="803">
        <f t="shared" si="10"/>
        <v>0</v>
      </c>
      <c r="AF16" s="344">
        <f t="shared" si="10"/>
        <v>3</v>
      </c>
      <c r="AG16" s="344">
        <f t="shared" si="10"/>
        <v>0</v>
      </c>
      <c r="AH16" s="344">
        <f t="shared" si="10"/>
        <v>0</v>
      </c>
      <c r="AI16" s="344">
        <f t="shared" si="10"/>
        <v>0</v>
      </c>
      <c r="AJ16" s="344">
        <f t="shared" si="10"/>
        <v>0</v>
      </c>
      <c r="AK16" s="35">
        <f t="shared" si="10"/>
        <v>3</v>
      </c>
      <c r="AL16" s="346">
        <f t="shared" si="10"/>
        <v>9924731</v>
      </c>
      <c r="AM16" s="343">
        <f t="shared" si="10"/>
        <v>7291094</v>
      </c>
      <c r="AN16" s="343">
        <f t="shared" si="10"/>
        <v>72000</v>
      </c>
      <c r="AO16" s="343">
        <f t="shared" si="10"/>
        <v>2488726</v>
      </c>
      <c r="AP16" s="343">
        <f t="shared" si="10"/>
        <v>72911</v>
      </c>
      <c r="AQ16" s="343">
        <f t="shared" si="10"/>
        <v>0</v>
      </c>
      <c r="AR16" s="344">
        <f t="shared" si="10"/>
        <v>13</v>
      </c>
    </row>
    <row r="17" spans="1:44" s="152" customFormat="1" x14ac:dyDescent="0.2">
      <c r="A17" s="140">
        <v>3</v>
      </c>
      <c r="B17" s="141">
        <v>4409</v>
      </c>
      <c r="C17" s="141">
        <v>600074358</v>
      </c>
      <c r="D17" s="141">
        <v>70982104</v>
      </c>
      <c r="E17" s="135" t="s">
        <v>144</v>
      </c>
      <c r="F17" s="141">
        <v>3111</v>
      </c>
      <c r="G17" s="117" t="s">
        <v>277</v>
      </c>
      <c r="H17" s="565" t="s">
        <v>262</v>
      </c>
      <c r="I17" s="586">
        <f>SUM(J17:L17)</f>
        <v>17004538</v>
      </c>
      <c r="J17" s="490">
        <v>12614643</v>
      </c>
      <c r="K17" s="55">
        <f t="shared" ref="K17:K19" si="11">ROUND(J17*33.8%,0)</f>
        <v>4263749</v>
      </c>
      <c r="L17" s="55">
        <f t="shared" ref="L17:L19" si="12">ROUND(J17*1%,0)</f>
        <v>126146</v>
      </c>
      <c r="M17" s="55">
        <v>0</v>
      </c>
      <c r="N17" s="631">
        <v>21</v>
      </c>
      <c r="O17" s="445">
        <f>V17*-1</f>
        <v>-12000</v>
      </c>
      <c r="P17" s="325">
        <v>0</v>
      </c>
      <c r="Q17" s="325">
        <v>0</v>
      </c>
      <c r="R17" s="325">
        <v>0</v>
      </c>
      <c r="S17" s="325">
        <v>0</v>
      </c>
      <c r="T17" s="325">
        <v>0</v>
      </c>
      <c r="U17" s="492">
        <f t="shared" ref="U17:U19" si="13">O17+P17+Q17+R17+S17+T17</f>
        <v>-12000</v>
      </c>
      <c r="V17" s="325">
        <v>12000</v>
      </c>
      <c r="W17" s="325">
        <v>0</v>
      </c>
      <c r="X17" s="325">
        <v>0</v>
      </c>
      <c r="Y17" s="492">
        <f t="shared" ref="Y17:Y19" si="14">V17+W17+X17</f>
        <v>12000</v>
      </c>
      <c r="Z17" s="492">
        <f t="shared" ref="Z17:Z19" si="15">U17+Y17</f>
        <v>0</v>
      </c>
      <c r="AA17" s="494">
        <f t="shared" ref="AA17:AA19" si="16">ROUND((U17+Y17)*33.8%,0)</f>
        <v>0</v>
      </c>
      <c r="AB17" s="494">
        <f t="shared" ref="AB17:AB19" si="17">ROUND(U17*1%,0)</f>
        <v>-120</v>
      </c>
      <c r="AC17" s="492">
        <v>0</v>
      </c>
      <c r="AD17" s="789">
        <f t="shared" ref="AD17:AD19" si="18">Z17+AA17+AB17+AC17</f>
        <v>-120</v>
      </c>
      <c r="AE17" s="715">
        <v>-0.02</v>
      </c>
      <c r="AF17" s="326">
        <v>0</v>
      </c>
      <c r="AG17" s="326">
        <v>0</v>
      </c>
      <c r="AH17" s="326">
        <v>0</v>
      </c>
      <c r="AI17" s="326">
        <v>0</v>
      </c>
      <c r="AJ17" s="326">
        <v>0</v>
      </c>
      <c r="AK17" s="626">
        <f t="shared" ref="AK17:AK19" si="19">SUM(AE17:AJ17)</f>
        <v>-0.02</v>
      </c>
      <c r="AL17" s="493">
        <f>I17+AD17</f>
        <v>17004418</v>
      </c>
      <c r="AM17" s="492">
        <f>J17+U17</f>
        <v>12602643</v>
      </c>
      <c r="AN17" s="492">
        <f t="shared" ref="AN17:AN19" si="20">Y17</f>
        <v>12000</v>
      </c>
      <c r="AO17" s="492">
        <f t="shared" ref="AO17:AP19" si="21">K17+AA17</f>
        <v>4263749</v>
      </c>
      <c r="AP17" s="492">
        <f t="shared" si="21"/>
        <v>126026</v>
      </c>
      <c r="AQ17" s="492">
        <v>0</v>
      </c>
      <c r="AR17" s="491">
        <f t="shared" ref="AR17:AR19" si="22">N17+AK17</f>
        <v>20.98</v>
      </c>
    </row>
    <row r="18" spans="1:44" s="152" customFormat="1" x14ac:dyDescent="0.2">
      <c r="A18" s="140">
        <v>3</v>
      </c>
      <c r="B18" s="141">
        <v>4409</v>
      </c>
      <c r="C18" s="141">
        <v>600074358</v>
      </c>
      <c r="D18" s="141">
        <v>70982104</v>
      </c>
      <c r="E18" s="135" t="s">
        <v>144</v>
      </c>
      <c r="F18" s="141">
        <v>3111</v>
      </c>
      <c r="G18" s="117" t="s">
        <v>279</v>
      </c>
      <c r="H18" s="565" t="s">
        <v>262</v>
      </c>
      <c r="I18" s="586">
        <f>SUM(J18:L18)</f>
        <v>0</v>
      </c>
      <c r="J18" s="490">
        <v>0</v>
      </c>
      <c r="K18" s="55">
        <f t="shared" si="11"/>
        <v>0</v>
      </c>
      <c r="L18" s="55">
        <f t="shared" si="12"/>
        <v>0</v>
      </c>
      <c r="M18" s="55">
        <v>0</v>
      </c>
      <c r="N18" s="631">
        <v>0</v>
      </c>
      <c r="O18" s="440">
        <f>V18*-1</f>
        <v>0</v>
      </c>
      <c r="P18" s="325">
        <v>0</v>
      </c>
      <c r="Q18" s="325">
        <v>0</v>
      </c>
      <c r="R18" s="325">
        <v>0</v>
      </c>
      <c r="S18" s="325">
        <v>0</v>
      </c>
      <c r="T18" s="325">
        <v>0</v>
      </c>
      <c r="U18" s="492">
        <f t="shared" si="13"/>
        <v>0</v>
      </c>
      <c r="V18" s="325">
        <v>0</v>
      </c>
      <c r="W18" s="325">
        <v>0</v>
      </c>
      <c r="X18" s="325">
        <v>0</v>
      </c>
      <c r="Y18" s="492">
        <f t="shared" si="14"/>
        <v>0</v>
      </c>
      <c r="Z18" s="492">
        <f t="shared" si="15"/>
        <v>0</v>
      </c>
      <c r="AA18" s="494">
        <f t="shared" si="16"/>
        <v>0</v>
      </c>
      <c r="AB18" s="494">
        <f t="shared" si="17"/>
        <v>0</v>
      </c>
      <c r="AC18" s="492">
        <v>0</v>
      </c>
      <c r="AD18" s="789">
        <f t="shared" si="18"/>
        <v>0</v>
      </c>
      <c r="AE18" s="715">
        <v>0</v>
      </c>
      <c r="AF18" s="326">
        <v>0</v>
      </c>
      <c r="AG18" s="326">
        <v>0</v>
      </c>
      <c r="AH18" s="326">
        <v>0</v>
      </c>
      <c r="AI18" s="326">
        <v>0</v>
      </c>
      <c r="AJ18" s="326">
        <v>0</v>
      </c>
      <c r="AK18" s="626">
        <f t="shared" si="19"/>
        <v>0</v>
      </c>
      <c r="AL18" s="493">
        <f>I18+AD18</f>
        <v>0</v>
      </c>
      <c r="AM18" s="492">
        <f>J18+U18</f>
        <v>0</v>
      </c>
      <c r="AN18" s="492">
        <f t="shared" si="20"/>
        <v>0</v>
      </c>
      <c r="AO18" s="492">
        <f t="shared" si="21"/>
        <v>0</v>
      </c>
      <c r="AP18" s="492">
        <f t="shared" si="21"/>
        <v>0</v>
      </c>
      <c r="AQ18" s="492">
        <v>0</v>
      </c>
      <c r="AR18" s="491">
        <f t="shared" si="22"/>
        <v>0</v>
      </c>
    </row>
    <row r="19" spans="1:44" s="152" customFormat="1" x14ac:dyDescent="0.2">
      <c r="A19" s="140">
        <v>3</v>
      </c>
      <c r="B19" s="141">
        <v>4409</v>
      </c>
      <c r="C19" s="141">
        <v>600074358</v>
      </c>
      <c r="D19" s="141">
        <v>70982104</v>
      </c>
      <c r="E19" s="135" t="s">
        <v>144</v>
      </c>
      <c r="F19" s="141">
        <v>3111</v>
      </c>
      <c r="G19" s="117" t="s">
        <v>278</v>
      </c>
      <c r="H19" s="565" t="s">
        <v>263</v>
      </c>
      <c r="I19" s="586">
        <f>SUM(J19:L19)</f>
        <v>0</v>
      </c>
      <c r="J19" s="490">
        <v>0</v>
      </c>
      <c r="K19" s="55">
        <f t="shared" si="11"/>
        <v>0</v>
      </c>
      <c r="L19" s="55">
        <f t="shared" si="12"/>
        <v>0</v>
      </c>
      <c r="M19" s="55">
        <v>0</v>
      </c>
      <c r="N19" s="631">
        <v>0</v>
      </c>
      <c r="O19" s="440">
        <f>V19*-1</f>
        <v>0</v>
      </c>
      <c r="P19" s="325">
        <f>1983788-363368</f>
        <v>1620420</v>
      </c>
      <c r="Q19" s="325">
        <v>0</v>
      </c>
      <c r="R19" s="325">
        <v>0</v>
      </c>
      <c r="S19" s="325">
        <v>0</v>
      </c>
      <c r="T19" s="325">
        <v>0</v>
      </c>
      <c r="U19" s="492">
        <f t="shared" si="13"/>
        <v>1620420</v>
      </c>
      <c r="V19" s="325">
        <v>0</v>
      </c>
      <c r="W19" s="325">
        <v>0</v>
      </c>
      <c r="X19" s="325">
        <v>0</v>
      </c>
      <c r="Y19" s="492">
        <f t="shared" si="14"/>
        <v>0</v>
      </c>
      <c r="Z19" s="492">
        <f t="shared" si="15"/>
        <v>1620420</v>
      </c>
      <c r="AA19" s="494">
        <f t="shared" si="16"/>
        <v>547702</v>
      </c>
      <c r="AB19" s="494">
        <f t="shared" si="17"/>
        <v>16204</v>
      </c>
      <c r="AC19" s="492">
        <v>0</v>
      </c>
      <c r="AD19" s="789">
        <f t="shared" si="18"/>
        <v>2184326</v>
      </c>
      <c r="AE19" s="715">
        <v>0</v>
      </c>
      <c r="AF19" s="326">
        <f>5.3-1.2</f>
        <v>4.0999999999999996</v>
      </c>
      <c r="AG19" s="326">
        <v>0</v>
      </c>
      <c r="AH19" s="326">
        <v>0</v>
      </c>
      <c r="AI19" s="326">
        <v>0</v>
      </c>
      <c r="AJ19" s="326">
        <v>0</v>
      </c>
      <c r="AK19" s="626">
        <f t="shared" si="19"/>
        <v>4.0999999999999996</v>
      </c>
      <c r="AL19" s="493">
        <f>I19+AD19</f>
        <v>2184326</v>
      </c>
      <c r="AM19" s="492">
        <f>J19+U19</f>
        <v>1620420</v>
      </c>
      <c r="AN19" s="492">
        <f t="shared" si="20"/>
        <v>0</v>
      </c>
      <c r="AO19" s="492">
        <f t="shared" si="21"/>
        <v>547702</v>
      </c>
      <c r="AP19" s="492">
        <f t="shared" si="21"/>
        <v>16204</v>
      </c>
      <c r="AQ19" s="492">
        <v>0</v>
      </c>
      <c r="AR19" s="491">
        <f t="shared" si="22"/>
        <v>4.0999999999999996</v>
      </c>
    </row>
    <row r="20" spans="1:44" s="152" customFormat="1" x14ac:dyDescent="0.2">
      <c r="A20" s="107">
        <v>3</v>
      </c>
      <c r="B20" s="15">
        <v>4409</v>
      </c>
      <c r="C20" s="15">
        <v>600074358</v>
      </c>
      <c r="D20" s="15">
        <v>70982104</v>
      </c>
      <c r="E20" s="116" t="s">
        <v>145</v>
      </c>
      <c r="F20" s="15"/>
      <c r="G20" s="106"/>
      <c r="H20" s="560"/>
      <c r="I20" s="794">
        <f t="shared" ref="I20:AR20" si="23">SUM(I17:I19)</f>
        <v>17004538</v>
      </c>
      <c r="J20" s="343">
        <f t="shared" si="23"/>
        <v>12614643</v>
      </c>
      <c r="K20" s="343">
        <f t="shared" si="23"/>
        <v>4263749</v>
      </c>
      <c r="L20" s="343">
        <f t="shared" si="23"/>
        <v>126146</v>
      </c>
      <c r="M20" s="343">
        <f t="shared" si="23"/>
        <v>0</v>
      </c>
      <c r="N20" s="35">
        <f t="shared" si="23"/>
        <v>21</v>
      </c>
      <c r="O20" s="346">
        <f t="shared" si="23"/>
        <v>-12000</v>
      </c>
      <c r="P20" s="343">
        <f t="shared" si="23"/>
        <v>1620420</v>
      </c>
      <c r="Q20" s="343">
        <f t="shared" si="23"/>
        <v>0</v>
      </c>
      <c r="R20" s="343">
        <f t="shared" si="23"/>
        <v>0</v>
      </c>
      <c r="S20" s="343">
        <f t="shared" si="23"/>
        <v>0</v>
      </c>
      <c r="T20" s="343">
        <f t="shared" si="23"/>
        <v>0</v>
      </c>
      <c r="U20" s="343">
        <f t="shared" si="23"/>
        <v>1608420</v>
      </c>
      <c r="V20" s="343">
        <f t="shared" si="23"/>
        <v>12000</v>
      </c>
      <c r="W20" s="343">
        <f t="shared" si="23"/>
        <v>0</v>
      </c>
      <c r="X20" s="343">
        <f t="shared" si="23"/>
        <v>0</v>
      </c>
      <c r="Y20" s="343">
        <f t="shared" si="23"/>
        <v>12000</v>
      </c>
      <c r="Z20" s="343">
        <f t="shared" si="23"/>
        <v>1620420</v>
      </c>
      <c r="AA20" s="343">
        <f t="shared" si="23"/>
        <v>547702</v>
      </c>
      <c r="AB20" s="343">
        <f t="shared" si="23"/>
        <v>16084</v>
      </c>
      <c r="AC20" s="343">
        <f t="shared" si="23"/>
        <v>0</v>
      </c>
      <c r="AD20" s="799">
        <f t="shared" si="23"/>
        <v>2184206</v>
      </c>
      <c r="AE20" s="803">
        <f t="shared" si="23"/>
        <v>-0.02</v>
      </c>
      <c r="AF20" s="344">
        <f t="shared" si="23"/>
        <v>4.0999999999999996</v>
      </c>
      <c r="AG20" s="344">
        <f t="shared" si="23"/>
        <v>0</v>
      </c>
      <c r="AH20" s="344">
        <f t="shared" si="23"/>
        <v>0</v>
      </c>
      <c r="AI20" s="344">
        <f t="shared" si="23"/>
        <v>0</v>
      </c>
      <c r="AJ20" s="344">
        <f t="shared" si="23"/>
        <v>0</v>
      </c>
      <c r="AK20" s="35">
        <f t="shared" si="23"/>
        <v>4.08</v>
      </c>
      <c r="AL20" s="346">
        <f t="shared" si="23"/>
        <v>19188744</v>
      </c>
      <c r="AM20" s="343">
        <f t="shared" si="23"/>
        <v>14223063</v>
      </c>
      <c r="AN20" s="343">
        <f t="shared" si="23"/>
        <v>12000</v>
      </c>
      <c r="AO20" s="343">
        <f t="shared" si="23"/>
        <v>4811451</v>
      </c>
      <c r="AP20" s="343">
        <f t="shared" si="23"/>
        <v>142230</v>
      </c>
      <c r="AQ20" s="343">
        <f t="shared" si="23"/>
        <v>0</v>
      </c>
      <c r="AR20" s="344">
        <f t="shared" si="23"/>
        <v>25.08</v>
      </c>
    </row>
    <row r="21" spans="1:44" s="152" customFormat="1" x14ac:dyDescent="0.2">
      <c r="A21" s="140">
        <v>4</v>
      </c>
      <c r="B21" s="141">
        <v>4407</v>
      </c>
      <c r="C21" s="141">
        <v>600074552</v>
      </c>
      <c r="D21" s="141">
        <v>70982201</v>
      </c>
      <c r="E21" s="139" t="s">
        <v>146</v>
      </c>
      <c r="F21" s="141">
        <v>3111</v>
      </c>
      <c r="G21" s="117" t="s">
        <v>277</v>
      </c>
      <c r="H21" s="565" t="s">
        <v>262</v>
      </c>
      <c r="I21" s="586">
        <f>SUM(J21:L21)</f>
        <v>7453036</v>
      </c>
      <c r="J21" s="490">
        <v>5528959</v>
      </c>
      <c r="K21" s="55">
        <f t="shared" ref="K21:K23" si="24">ROUND(J21*33.8%,0)</f>
        <v>1868788</v>
      </c>
      <c r="L21" s="55">
        <f>ROUND(J21*1%,0)-1</f>
        <v>55289</v>
      </c>
      <c r="M21" s="55">
        <v>0</v>
      </c>
      <c r="N21" s="631">
        <v>8.42</v>
      </c>
      <c r="O21" s="445">
        <f>V21*-1</f>
        <v>0</v>
      </c>
      <c r="P21" s="325">
        <v>0</v>
      </c>
      <c r="Q21" s="325">
        <v>0</v>
      </c>
      <c r="R21" s="325">
        <v>0</v>
      </c>
      <c r="S21" s="325">
        <v>0</v>
      </c>
      <c r="T21" s="325">
        <v>0</v>
      </c>
      <c r="U21" s="492">
        <f t="shared" ref="U21:U23" si="25">O21+P21+Q21+R21+S21+T21</f>
        <v>0</v>
      </c>
      <c r="V21" s="325">
        <v>0</v>
      </c>
      <c r="W21" s="325">
        <v>0</v>
      </c>
      <c r="X21" s="325">
        <v>0</v>
      </c>
      <c r="Y21" s="492">
        <f t="shared" ref="Y21:Y23" si="26">V21+W21+X21</f>
        <v>0</v>
      </c>
      <c r="Z21" s="492">
        <f t="shared" ref="Z21:Z23" si="27">U21+Y21</f>
        <v>0</v>
      </c>
      <c r="AA21" s="494">
        <f t="shared" ref="AA21:AA23" si="28">ROUND((U21+Y21)*33.8%,0)</f>
        <v>0</v>
      </c>
      <c r="AB21" s="494">
        <f t="shared" ref="AB21:AB23" si="29">ROUND(U21*1%,0)</f>
        <v>0</v>
      </c>
      <c r="AC21" s="492">
        <v>0</v>
      </c>
      <c r="AD21" s="789">
        <f t="shared" ref="AD21:AD23" si="30">Z21+AA21+AB21+AC21</f>
        <v>0</v>
      </c>
      <c r="AE21" s="715">
        <v>0</v>
      </c>
      <c r="AF21" s="326">
        <v>0</v>
      </c>
      <c r="AG21" s="326">
        <v>0</v>
      </c>
      <c r="AH21" s="326">
        <v>0</v>
      </c>
      <c r="AI21" s="326">
        <v>0</v>
      </c>
      <c r="AJ21" s="326">
        <v>0</v>
      </c>
      <c r="AK21" s="626">
        <f t="shared" ref="AK21:AK23" si="31">SUM(AE21:AJ21)</f>
        <v>0</v>
      </c>
      <c r="AL21" s="493">
        <f>I21+AD21</f>
        <v>7453036</v>
      </c>
      <c r="AM21" s="492">
        <f>J21+U21</f>
        <v>5528959</v>
      </c>
      <c r="AN21" s="492">
        <f t="shared" ref="AN21:AN23" si="32">Y21</f>
        <v>0</v>
      </c>
      <c r="AO21" s="492">
        <f t="shared" ref="AO21:AP23" si="33">K21+AA21</f>
        <v>1868788</v>
      </c>
      <c r="AP21" s="492">
        <f t="shared" si="33"/>
        <v>55289</v>
      </c>
      <c r="AQ21" s="492">
        <v>0</v>
      </c>
      <c r="AR21" s="491">
        <f t="shared" ref="AR21:AR23" si="34">N21+AK21</f>
        <v>8.42</v>
      </c>
    </row>
    <row r="22" spans="1:44" s="152" customFormat="1" x14ac:dyDescent="0.2">
      <c r="A22" s="140">
        <v>4</v>
      </c>
      <c r="B22" s="141">
        <v>4407</v>
      </c>
      <c r="C22" s="141">
        <v>600074552</v>
      </c>
      <c r="D22" s="141">
        <v>70982201</v>
      </c>
      <c r="E22" s="139" t="s">
        <v>146</v>
      </c>
      <c r="F22" s="141">
        <v>3111</v>
      </c>
      <c r="G22" s="117" t="s">
        <v>279</v>
      </c>
      <c r="H22" s="565" t="s">
        <v>262</v>
      </c>
      <c r="I22" s="586">
        <f>SUM(J22:L22)</f>
        <v>641201</v>
      </c>
      <c r="J22" s="490">
        <v>475668</v>
      </c>
      <c r="K22" s="55">
        <f t="shared" si="24"/>
        <v>160776</v>
      </c>
      <c r="L22" s="55">
        <f t="shared" ref="L22:L23" si="35">ROUND(J22*1%,0)</f>
        <v>4757</v>
      </c>
      <c r="M22" s="55">
        <v>0</v>
      </c>
      <c r="N22" s="631">
        <v>1</v>
      </c>
      <c r="O22" s="440">
        <f>V22*-1</f>
        <v>0</v>
      </c>
      <c r="P22" s="325">
        <v>0</v>
      </c>
      <c r="Q22" s="325">
        <v>0</v>
      </c>
      <c r="R22" s="325">
        <v>0</v>
      </c>
      <c r="S22" s="325">
        <v>0</v>
      </c>
      <c r="T22" s="325">
        <v>0</v>
      </c>
      <c r="U22" s="492">
        <f t="shared" si="25"/>
        <v>0</v>
      </c>
      <c r="V22" s="325">
        <v>0</v>
      </c>
      <c r="W22" s="325">
        <v>0</v>
      </c>
      <c r="X22" s="325">
        <v>0</v>
      </c>
      <c r="Y22" s="492">
        <f t="shared" si="26"/>
        <v>0</v>
      </c>
      <c r="Z22" s="492">
        <f t="shared" si="27"/>
        <v>0</v>
      </c>
      <c r="AA22" s="494">
        <f t="shared" si="28"/>
        <v>0</v>
      </c>
      <c r="AB22" s="494">
        <f t="shared" si="29"/>
        <v>0</v>
      </c>
      <c r="AC22" s="492">
        <v>0</v>
      </c>
      <c r="AD22" s="789">
        <f t="shared" si="30"/>
        <v>0</v>
      </c>
      <c r="AE22" s="715">
        <v>0</v>
      </c>
      <c r="AF22" s="326">
        <v>0</v>
      </c>
      <c r="AG22" s="326">
        <v>0</v>
      </c>
      <c r="AH22" s="326">
        <v>0</v>
      </c>
      <c r="AI22" s="326">
        <v>0</v>
      </c>
      <c r="AJ22" s="326">
        <v>0</v>
      </c>
      <c r="AK22" s="626">
        <f t="shared" si="31"/>
        <v>0</v>
      </c>
      <c r="AL22" s="493">
        <f>I22+AD22</f>
        <v>641201</v>
      </c>
      <c r="AM22" s="492">
        <f>J22+U22</f>
        <v>475668</v>
      </c>
      <c r="AN22" s="492">
        <f t="shared" si="32"/>
        <v>0</v>
      </c>
      <c r="AO22" s="492">
        <f t="shared" si="33"/>
        <v>160776</v>
      </c>
      <c r="AP22" s="492">
        <f t="shared" si="33"/>
        <v>4757</v>
      </c>
      <c r="AQ22" s="492">
        <v>0</v>
      </c>
      <c r="AR22" s="491">
        <f t="shared" si="34"/>
        <v>1</v>
      </c>
    </row>
    <row r="23" spans="1:44" s="152" customFormat="1" x14ac:dyDescent="0.2">
      <c r="A23" s="140">
        <v>4</v>
      </c>
      <c r="B23" s="141">
        <v>4407</v>
      </c>
      <c r="C23" s="141">
        <v>600074552</v>
      </c>
      <c r="D23" s="141">
        <v>70982201</v>
      </c>
      <c r="E23" s="139" t="s">
        <v>146</v>
      </c>
      <c r="F23" s="141">
        <v>3111</v>
      </c>
      <c r="G23" s="117" t="s">
        <v>278</v>
      </c>
      <c r="H23" s="565" t="s">
        <v>263</v>
      </c>
      <c r="I23" s="586">
        <f>SUM(J23:L23)</f>
        <v>0</v>
      </c>
      <c r="J23" s="490">
        <v>0</v>
      </c>
      <c r="K23" s="55">
        <f t="shared" si="24"/>
        <v>0</v>
      </c>
      <c r="L23" s="55">
        <f t="shared" si="35"/>
        <v>0</v>
      </c>
      <c r="M23" s="55">
        <v>0</v>
      </c>
      <c r="N23" s="631">
        <v>0</v>
      </c>
      <c r="O23" s="440">
        <f>V23*-1</f>
        <v>0</v>
      </c>
      <c r="P23" s="325">
        <f>396847+203451</f>
        <v>600298</v>
      </c>
      <c r="Q23" s="325">
        <v>0</v>
      </c>
      <c r="R23" s="325">
        <v>0</v>
      </c>
      <c r="S23" s="325">
        <v>0</v>
      </c>
      <c r="T23" s="325">
        <v>0</v>
      </c>
      <c r="U23" s="492">
        <f t="shared" si="25"/>
        <v>600298</v>
      </c>
      <c r="V23" s="325">
        <v>0</v>
      </c>
      <c r="W23" s="325">
        <v>0</v>
      </c>
      <c r="X23" s="325">
        <v>0</v>
      </c>
      <c r="Y23" s="492">
        <f t="shared" si="26"/>
        <v>0</v>
      </c>
      <c r="Z23" s="492">
        <f t="shared" si="27"/>
        <v>600298</v>
      </c>
      <c r="AA23" s="494">
        <f t="shared" si="28"/>
        <v>202901</v>
      </c>
      <c r="AB23" s="494">
        <f t="shared" si="29"/>
        <v>6003</v>
      </c>
      <c r="AC23" s="492">
        <v>0</v>
      </c>
      <c r="AD23" s="789">
        <f t="shared" si="30"/>
        <v>809202</v>
      </c>
      <c r="AE23" s="715">
        <v>0</v>
      </c>
      <c r="AF23" s="326">
        <f>1+0.69</f>
        <v>1.69</v>
      </c>
      <c r="AG23" s="326">
        <v>0</v>
      </c>
      <c r="AH23" s="326">
        <v>0</v>
      </c>
      <c r="AI23" s="326">
        <v>0</v>
      </c>
      <c r="AJ23" s="326">
        <v>0</v>
      </c>
      <c r="AK23" s="626">
        <f t="shared" si="31"/>
        <v>1.69</v>
      </c>
      <c r="AL23" s="493">
        <f>I23+AD23</f>
        <v>809202</v>
      </c>
      <c r="AM23" s="492">
        <f>J23+U23</f>
        <v>600298</v>
      </c>
      <c r="AN23" s="492">
        <f t="shared" si="32"/>
        <v>0</v>
      </c>
      <c r="AO23" s="492">
        <f t="shared" si="33"/>
        <v>202901</v>
      </c>
      <c r="AP23" s="492">
        <f t="shared" si="33"/>
        <v>6003</v>
      </c>
      <c r="AQ23" s="492">
        <v>0</v>
      </c>
      <c r="AR23" s="491">
        <f t="shared" si="34"/>
        <v>1.69</v>
      </c>
    </row>
    <row r="24" spans="1:44" s="152" customFormat="1" x14ac:dyDescent="0.2">
      <c r="A24" s="107">
        <v>4</v>
      </c>
      <c r="B24" s="15">
        <v>4407</v>
      </c>
      <c r="C24" s="15">
        <v>600074552</v>
      </c>
      <c r="D24" s="15">
        <v>70982201</v>
      </c>
      <c r="E24" s="116" t="s">
        <v>147</v>
      </c>
      <c r="F24" s="15"/>
      <c r="G24" s="106"/>
      <c r="H24" s="560"/>
      <c r="I24" s="794">
        <f t="shared" ref="I24:AR24" si="36">SUM(I21:I23)</f>
        <v>8094237</v>
      </c>
      <c r="J24" s="343">
        <f t="shared" si="36"/>
        <v>6004627</v>
      </c>
      <c r="K24" s="343">
        <f t="shared" si="36"/>
        <v>2029564</v>
      </c>
      <c r="L24" s="343">
        <f t="shared" si="36"/>
        <v>60046</v>
      </c>
      <c r="M24" s="343">
        <f t="shared" si="36"/>
        <v>0</v>
      </c>
      <c r="N24" s="35">
        <f t="shared" si="36"/>
        <v>9.42</v>
      </c>
      <c r="O24" s="346">
        <f t="shared" si="36"/>
        <v>0</v>
      </c>
      <c r="P24" s="343">
        <f t="shared" si="36"/>
        <v>600298</v>
      </c>
      <c r="Q24" s="343">
        <f t="shared" si="36"/>
        <v>0</v>
      </c>
      <c r="R24" s="343">
        <f t="shared" si="36"/>
        <v>0</v>
      </c>
      <c r="S24" s="343">
        <f t="shared" si="36"/>
        <v>0</v>
      </c>
      <c r="T24" s="343">
        <f t="shared" si="36"/>
        <v>0</v>
      </c>
      <c r="U24" s="343">
        <f t="shared" si="36"/>
        <v>600298</v>
      </c>
      <c r="V24" s="343">
        <f t="shared" si="36"/>
        <v>0</v>
      </c>
      <c r="W24" s="343">
        <f t="shared" si="36"/>
        <v>0</v>
      </c>
      <c r="X24" s="343">
        <f t="shared" si="36"/>
        <v>0</v>
      </c>
      <c r="Y24" s="343">
        <f t="shared" si="36"/>
        <v>0</v>
      </c>
      <c r="Z24" s="343">
        <f t="shared" si="36"/>
        <v>600298</v>
      </c>
      <c r="AA24" s="343">
        <f t="shared" si="36"/>
        <v>202901</v>
      </c>
      <c r="AB24" s="343">
        <f t="shared" si="36"/>
        <v>6003</v>
      </c>
      <c r="AC24" s="343">
        <f t="shared" si="36"/>
        <v>0</v>
      </c>
      <c r="AD24" s="799">
        <f t="shared" si="36"/>
        <v>809202</v>
      </c>
      <c r="AE24" s="803">
        <f t="shared" si="36"/>
        <v>0</v>
      </c>
      <c r="AF24" s="344">
        <f t="shared" si="36"/>
        <v>1.69</v>
      </c>
      <c r="AG24" s="344">
        <f t="shared" si="36"/>
        <v>0</v>
      </c>
      <c r="AH24" s="344">
        <f t="shared" si="36"/>
        <v>0</v>
      </c>
      <c r="AI24" s="344">
        <f t="shared" si="36"/>
        <v>0</v>
      </c>
      <c r="AJ24" s="344">
        <f t="shared" si="36"/>
        <v>0</v>
      </c>
      <c r="AK24" s="35">
        <f t="shared" si="36"/>
        <v>1.69</v>
      </c>
      <c r="AL24" s="346">
        <f t="shared" si="36"/>
        <v>8903439</v>
      </c>
      <c r="AM24" s="343">
        <f t="shared" si="36"/>
        <v>6604925</v>
      </c>
      <c r="AN24" s="343">
        <f t="shared" si="36"/>
        <v>0</v>
      </c>
      <c r="AO24" s="343">
        <f t="shared" si="36"/>
        <v>2232465</v>
      </c>
      <c r="AP24" s="343">
        <f t="shared" si="36"/>
        <v>66049</v>
      </c>
      <c r="AQ24" s="343">
        <f t="shared" si="36"/>
        <v>0</v>
      </c>
      <c r="AR24" s="344">
        <f t="shared" si="36"/>
        <v>11.11</v>
      </c>
    </row>
    <row r="25" spans="1:44" s="152" customFormat="1" x14ac:dyDescent="0.2">
      <c r="A25" s="140">
        <v>5</v>
      </c>
      <c r="B25" s="141">
        <v>4492</v>
      </c>
      <c r="C25" s="141">
        <v>650065221</v>
      </c>
      <c r="D25" s="141">
        <v>71173838</v>
      </c>
      <c r="E25" s="139" t="s">
        <v>148</v>
      </c>
      <c r="F25" s="141">
        <v>3111</v>
      </c>
      <c r="G25" s="117" t="s">
        <v>277</v>
      </c>
      <c r="H25" s="565" t="s">
        <v>262</v>
      </c>
      <c r="I25" s="586">
        <f>SUM(J25:L25)</f>
        <v>7808725</v>
      </c>
      <c r="J25" s="490">
        <v>5792823</v>
      </c>
      <c r="K25" s="55">
        <f t="shared" ref="K25:K26" si="37">ROUND(J25*33.8%,0)</f>
        <v>1957974</v>
      </c>
      <c r="L25" s="55">
        <f t="shared" ref="L25:L26" si="38">ROUND(J25*1%,0)</f>
        <v>57928</v>
      </c>
      <c r="M25" s="55">
        <v>0</v>
      </c>
      <c r="N25" s="631">
        <v>9</v>
      </c>
      <c r="O25" s="445">
        <f>V25*-1</f>
        <v>0</v>
      </c>
      <c r="P25" s="325">
        <v>0</v>
      </c>
      <c r="Q25" s="325">
        <v>0</v>
      </c>
      <c r="R25" s="325">
        <v>0</v>
      </c>
      <c r="S25" s="325">
        <v>0</v>
      </c>
      <c r="T25" s="325">
        <v>0</v>
      </c>
      <c r="U25" s="492">
        <f t="shared" ref="U25:U26" si="39">O25+P25+Q25+R25+S25+T25</f>
        <v>0</v>
      </c>
      <c r="V25" s="325">
        <v>0</v>
      </c>
      <c r="W25" s="325">
        <v>0</v>
      </c>
      <c r="X25" s="325">
        <v>0</v>
      </c>
      <c r="Y25" s="492">
        <f t="shared" ref="Y25:Y26" si="40">V25+W25+X25</f>
        <v>0</v>
      </c>
      <c r="Z25" s="492">
        <f t="shared" ref="Z25:Z26" si="41">U25+Y25</f>
        <v>0</v>
      </c>
      <c r="AA25" s="494">
        <f t="shared" ref="AA25:AA26" si="42">ROUND((U25+Y25)*33.8%,0)</f>
        <v>0</v>
      </c>
      <c r="AB25" s="494">
        <f t="shared" ref="AB25:AB26" si="43">ROUND(U25*1%,0)</f>
        <v>0</v>
      </c>
      <c r="AC25" s="492">
        <v>0</v>
      </c>
      <c r="AD25" s="789">
        <f t="shared" ref="AD25:AD26" si="44">Z25+AA25+AB25+AC25</f>
        <v>0</v>
      </c>
      <c r="AE25" s="715">
        <v>0</v>
      </c>
      <c r="AF25" s="326">
        <v>0</v>
      </c>
      <c r="AG25" s="326">
        <v>0</v>
      </c>
      <c r="AH25" s="326">
        <v>0</v>
      </c>
      <c r="AI25" s="326">
        <v>0</v>
      </c>
      <c r="AJ25" s="326">
        <v>0</v>
      </c>
      <c r="AK25" s="626">
        <f t="shared" ref="AK25:AK26" si="45">SUM(AE25:AJ25)</f>
        <v>0</v>
      </c>
      <c r="AL25" s="493">
        <f>I25+AD25</f>
        <v>7808725</v>
      </c>
      <c r="AM25" s="492">
        <f>J25+U25</f>
        <v>5792823</v>
      </c>
      <c r="AN25" s="492">
        <f t="shared" ref="AN25:AN26" si="46">Y25</f>
        <v>0</v>
      </c>
      <c r="AO25" s="492">
        <f>K25+AA25</f>
        <v>1957974</v>
      </c>
      <c r="AP25" s="492">
        <f>L25+AB25</f>
        <v>57928</v>
      </c>
      <c r="AQ25" s="492">
        <v>0</v>
      </c>
      <c r="AR25" s="491">
        <f t="shared" ref="AR25:AR26" si="47">N25+AK25</f>
        <v>9</v>
      </c>
    </row>
    <row r="26" spans="1:44" s="152" customFormat="1" x14ac:dyDescent="0.2">
      <c r="A26" s="140">
        <v>5</v>
      </c>
      <c r="B26" s="141">
        <v>4492</v>
      </c>
      <c r="C26" s="141">
        <v>650065221</v>
      </c>
      <c r="D26" s="141">
        <v>71173838</v>
      </c>
      <c r="E26" s="139" t="s">
        <v>148</v>
      </c>
      <c r="F26" s="141">
        <v>3111</v>
      </c>
      <c r="G26" s="117" t="s">
        <v>278</v>
      </c>
      <c r="H26" s="565" t="s">
        <v>263</v>
      </c>
      <c r="I26" s="586">
        <f>SUM(J26:L26)</f>
        <v>0</v>
      </c>
      <c r="J26" s="490">
        <v>0</v>
      </c>
      <c r="K26" s="55">
        <f t="shared" si="37"/>
        <v>0</v>
      </c>
      <c r="L26" s="55">
        <f t="shared" si="38"/>
        <v>0</v>
      </c>
      <c r="M26" s="55">
        <v>0</v>
      </c>
      <c r="N26" s="631">
        <v>0</v>
      </c>
      <c r="O26" s="440">
        <f>V26*-1</f>
        <v>0</v>
      </c>
      <c r="P26" s="325">
        <v>694483</v>
      </c>
      <c r="Q26" s="325">
        <v>0</v>
      </c>
      <c r="R26" s="325">
        <v>0</v>
      </c>
      <c r="S26" s="325">
        <v>0</v>
      </c>
      <c r="T26" s="325">
        <v>0</v>
      </c>
      <c r="U26" s="492">
        <f t="shared" si="39"/>
        <v>694483</v>
      </c>
      <c r="V26" s="325">
        <v>0</v>
      </c>
      <c r="W26" s="325">
        <v>0</v>
      </c>
      <c r="X26" s="325">
        <v>0</v>
      </c>
      <c r="Y26" s="492">
        <f t="shared" si="40"/>
        <v>0</v>
      </c>
      <c r="Z26" s="492">
        <f t="shared" si="41"/>
        <v>694483</v>
      </c>
      <c r="AA26" s="494">
        <f t="shared" si="42"/>
        <v>234735</v>
      </c>
      <c r="AB26" s="494">
        <f t="shared" si="43"/>
        <v>6945</v>
      </c>
      <c r="AC26" s="492">
        <v>0</v>
      </c>
      <c r="AD26" s="789">
        <f t="shared" si="44"/>
        <v>936163</v>
      </c>
      <c r="AE26" s="715">
        <v>0</v>
      </c>
      <c r="AF26" s="326">
        <v>1.75</v>
      </c>
      <c r="AG26" s="326">
        <v>0</v>
      </c>
      <c r="AH26" s="326">
        <v>0</v>
      </c>
      <c r="AI26" s="326">
        <v>0</v>
      </c>
      <c r="AJ26" s="326">
        <v>0</v>
      </c>
      <c r="AK26" s="626">
        <f t="shared" si="45"/>
        <v>1.75</v>
      </c>
      <c r="AL26" s="493">
        <f>I26+AD26</f>
        <v>936163</v>
      </c>
      <c r="AM26" s="492">
        <f>J26+U26</f>
        <v>694483</v>
      </c>
      <c r="AN26" s="492">
        <f t="shared" si="46"/>
        <v>0</v>
      </c>
      <c r="AO26" s="492">
        <f>K26+AA26</f>
        <v>234735</v>
      </c>
      <c r="AP26" s="492">
        <f>L26+AB26</f>
        <v>6945</v>
      </c>
      <c r="AQ26" s="492">
        <v>0</v>
      </c>
      <c r="AR26" s="491">
        <f t="shared" si="47"/>
        <v>1.75</v>
      </c>
    </row>
    <row r="27" spans="1:44" s="152" customFormat="1" x14ac:dyDescent="0.2">
      <c r="A27" s="107">
        <v>5</v>
      </c>
      <c r="B27" s="15">
        <v>4492</v>
      </c>
      <c r="C27" s="15">
        <v>650065221</v>
      </c>
      <c r="D27" s="15">
        <v>71173838</v>
      </c>
      <c r="E27" s="116" t="s">
        <v>149</v>
      </c>
      <c r="F27" s="15"/>
      <c r="G27" s="106"/>
      <c r="H27" s="560"/>
      <c r="I27" s="794">
        <f t="shared" ref="I27:AR27" si="48">SUM(I25:I26)</f>
        <v>7808725</v>
      </c>
      <c r="J27" s="343">
        <f t="shared" si="48"/>
        <v>5792823</v>
      </c>
      <c r="K27" s="343">
        <f t="shared" si="48"/>
        <v>1957974</v>
      </c>
      <c r="L27" s="343">
        <f t="shared" si="48"/>
        <v>57928</v>
      </c>
      <c r="M27" s="343">
        <f t="shared" si="48"/>
        <v>0</v>
      </c>
      <c r="N27" s="35">
        <f t="shared" si="48"/>
        <v>9</v>
      </c>
      <c r="O27" s="346">
        <f t="shared" si="48"/>
        <v>0</v>
      </c>
      <c r="P27" s="343">
        <f t="shared" si="48"/>
        <v>694483</v>
      </c>
      <c r="Q27" s="343">
        <f t="shared" si="48"/>
        <v>0</v>
      </c>
      <c r="R27" s="343">
        <f t="shared" si="48"/>
        <v>0</v>
      </c>
      <c r="S27" s="343">
        <f t="shared" si="48"/>
        <v>0</v>
      </c>
      <c r="T27" s="343">
        <f t="shared" si="48"/>
        <v>0</v>
      </c>
      <c r="U27" s="343">
        <f t="shared" si="48"/>
        <v>694483</v>
      </c>
      <c r="V27" s="343">
        <f t="shared" si="48"/>
        <v>0</v>
      </c>
      <c r="W27" s="343">
        <f t="shared" si="48"/>
        <v>0</v>
      </c>
      <c r="X27" s="343">
        <f t="shared" si="48"/>
        <v>0</v>
      </c>
      <c r="Y27" s="343">
        <f t="shared" si="48"/>
        <v>0</v>
      </c>
      <c r="Z27" s="343">
        <f t="shared" si="48"/>
        <v>694483</v>
      </c>
      <c r="AA27" s="343">
        <f t="shared" si="48"/>
        <v>234735</v>
      </c>
      <c r="AB27" s="343">
        <f t="shared" si="48"/>
        <v>6945</v>
      </c>
      <c r="AC27" s="343">
        <f t="shared" si="48"/>
        <v>0</v>
      </c>
      <c r="AD27" s="799">
        <f t="shared" si="48"/>
        <v>936163</v>
      </c>
      <c r="AE27" s="803">
        <f t="shared" si="48"/>
        <v>0</v>
      </c>
      <c r="AF27" s="344">
        <f t="shared" si="48"/>
        <v>1.75</v>
      </c>
      <c r="AG27" s="344">
        <f t="shared" si="48"/>
        <v>0</v>
      </c>
      <c r="AH27" s="344">
        <f t="shared" si="48"/>
        <v>0</v>
      </c>
      <c r="AI27" s="344">
        <f t="shared" si="48"/>
        <v>0</v>
      </c>
      <c r="AJ27" s="344">
        <f t="shared" si="48"/>
        <v>0</v>
      </c>
      <c r="AK27" s="35">
        <f t="shared" si="48"/>
        <v>1.75</v>
      </c>
      <c r="AL27" s="346">
        <f t="shared" si="48"/>
        <v>8744888</v>
      </c>
      <c r="AM27" s="343">
        <f t="shared" si="48"/>
        <v>6487306</v>
      </c>
      <c r="AN27" s="343">
        <f t="shared" si="48"/>
        <v>0</v>
      </c>
      <c r="AO27" s="343">
        <f t="shared" si="48"/>
        <v>2192709</v>
      </c>
      <c r="AP27" s="343">
        <f t="shared" si="48"/>
        <v>64873</v>
      </c>
      <c r="AQ27" s="343">
        <f t="shared" si="48"/>
        <v>0</v>
      </c>
      <c r="AR27" s="344">
        <f t="shared" si="48"/>
        <v>10.75</v>
      </c>
    </row>
    <row r="28" spans="1:44" s="152" customFormat="1" x14ac:dyDescent="0.2">
      <c r="A28" s="140">
        <v>6</v>
      </c>
      <c r="B28" s="141">
        <v>4408</v>
      </c>
      <c r="C28" s="141">
        <v>600074528</v>
      </c>
      <c r="D28" s="141">
        <v>70982163</v>
      </c>
      <c r="E28" s="139" t="s">
        <v>150</v>
      </c>
      <c r="F28" s="141">
        <v>3111</v>
      </c>
      <c r="G28" s="117" t="s">
        <v>277</v>
      </c>
      <c r="H28" s="565" t="s">
        <v>262</v>
      </c>
      <c r="I28" s="586">
        <f>SUM(J28:L28)</f>
        <v>10518419</v>
      </c>
      <c r="J28" s="490">
        <v>7802981</v>
      </c>
      <c r="K28" s="55">
        <f t="shared" ref="K28:K29" si="49">ROUND(J28*33.8%,0)</f>
        <v>2637408</v>
      </c>
      <c r="L28" s="55">
        <f t="shared" ref="L28:L29" si="50">ROUND(J28*1%,0)</f>
        <v>78030</v>
      </c>
      <c r="M28" s="55">
        <v>0</v>
      </c>
      <c r="N28" s="631">
        <v>12.74</v>
      </c>
      <c r="O28" s="445">
        <f>V28*-1</f>
        <v>0</v>
      </c>
      <c r="P28" s="325">
        <v>0</v>
      </c>
      <c r="Q28" s="325">
        <v>0</v>
      </c>
      <c r="R28" s="325">
        <v>0</v>
      </c>
      <c r="S28" s="325">
        <v>0</v>
      </c>
      <c r="T28" s="325">
        <v>0</v>
      </c>
      <c r="U28" s="492">
        <f t="shared" ref="U28:U29" si="51">O28+P28+Q28+R28+S28+T28</f>
        <v>0</v>
      </c>
      <c r="V28" s="325">
        <v>0</v>
      </c>
      <c r="W28" s="325">
        <v>0</v>
      </c>
      <c r="X28" s="325">
        <v>0</v>
      </c>
      <c r="Y28" s="492">
        <f t="shared" ref="Y28:Y29" si="52">V28+W28+X28</f>
        <v>0</v>
      </c>
      <c r="Z28" s="492">
        <f t="shared" ref="Z28:Z29" si="53">U28+Y28</f>
        <v>0</v>
      </c>
      <c r="AA28" s="494">
        <f t="shared" ref="AA28:AA29" si="54">ROUND((U28+Y28)*33.8%,0)</f>
        <v>0</v>
      </c>
      <c r="AB28" s="494">
        <f t="shared" ref="AB28:AB29" si="55">ROUND(U28*1%,0)</f>
        <v>0</v>
      </c>
      <c r="AC28" s="492">
        <v>0</v>
      </c>
      <c r="AD28" s="789">
        <f t="shared" ref="AD28:AD29" si="56">Z28+AA28+AB28+AC28</f>
        <v>0</v>
      </c>
      <c r="AE28" s="715">
        <v>0</v>
      </c>
      <c r="AF28" s="326">
        <v>0</v>
      </c>
      <c r="AG28" s="326">
        <v>0</v>
      </c>
      <c r="AH28" s="326">
        <v>0</v>
      </c>
      <c r="AI28" s="326">
        <v>0</v>
      </c>
      <c r="AJ28" s="326">
        <v>0</v>
      </c>
      <c r="AK28" s="626">
        <f t="shared" ref="AK28:AK29" si="57">SUM(AE28:AJ28)</f>
        <v>0</v>
      </c>
      <c r="AL28" s="493">
        <f>I28+AD28</f>
        <v>10518419</v>
      </c>
      <c r="AM28" s="492">
        <f>J28+U28</f>
        <v>7802981</v>
      </c>
      <c r="AN28" s="492">
        <f t="shared" ref="AN28:AN29" si="58">Y28</f>
        <v>0</v>
      </c>
      <c r="AO28" s="492">
        <f>K28+AA28</f>
        <v>2637408</v>
      </c>
      <c r="AP28" s="492">
        <f>L28+AB28</f>
        <v>78030</v>
      </c>
      <c r="AQ28" s="492">
        <v>0</v>
      </c>
      <c r="AR28" s="491">
        <f t="shared" ref="AR28:AR29" si="59">N28+AK28</f>
        <v>12.74</v>
      </c>
    </row>
    <row r="29" spans="1:44" s="152" customFormat="1" x14ac:dyDescent="0.2">
      <c r="A29" s="140">
        <v>6</v>
      </c>
      <c r="B29" s="141">
        <v>4408</v>
      </c>
      <c r="C29" s="141">
        <v>600074528</v>
      </c>
      <c r="D29" s="141">
        <v>70982163</v>
      </c>
      <c r="E29" s="139" t="s">
        <v>150</v>
      </c>
      <c r="F29" s="141">
        <v>3111</v>
      </c>
      <c r="G29" s="117" t="s">
        <v>278</v>
      </c>
      <c r="H29" s="565" t="s">
        <v>263</v>
      </c>
      <c r="I29" s="586">
        <f>SUM(J29:L29)</f>
        <v>0</v>
      </c>
      <c r="J29" s="490">
        <v>0</v>
      </c>
      <c r="K29" s="55">
        <f t="shared" si="49"/>
        <v>0</v>
      </c>
      <c r="L29" s="55">
        <f t="shared" si="50"/>
        <v>0</v>
      </c>
      <c r="M29" s="55">
        <v>0</v>
      </c>
      <c r="N29" s="631">
        <v>0</v>
      </c>
      <c r="O29" s="440">
        <f>V29*-1</f>
        <v>0</v>
      </c>
      <c r="P29" s="325">
        <f>1039162-12330</f>
        <v>1026832</v>
      </c>
      <c r="Q29" s="325">
        <v>0</v>
      </c>
      <c r="R29" s="325">
        <v>0</v>
      </c>
      <c r="S29" s="325">
        <v>0</v>
      </c>
      <c r="T29" s="325">
        <v>0</v>
      </c>
      <c r="U29" s="492">
        <f t="shared" si="51"/>
        <v>1026832</v>
      </c>
      <c r="V29" s="325">
        <v>0</v>
      </c>
      <c r="W29" s="325">
        <v>0</v>
      </c>
      <c r="X29" s="325">
        <v>0</v>
      </c>
      <c r="Y29" s="492">
        <f t="shared" si="52"/>
        <v>0</v>
      </c>
      <c r="Z29" s="492">
        <f t="shared" si="53"/>
        <v>1026832</v>
      </c>
      <c r="AA29" s="494">
        <f t="shared" si="54"/>
        <v>347069</v>
      </c>
      <c r="AB29" s="494">
        <f t="shared" si="55"/>
        <v>10268</v>
      </c>
      <c r="AC29" s="492">
        <v>0</v>
      </c>
      <c r="AD29" s="789">
        <f t="shared" si="56"/>
        <v>1384169</v>
      </c>
      <c r="AE29" s="715">
        <v>0</v>
      </c>
      <c r="AF29" s="326">
        <f>3-0.04</f>
        <v>2.96</v>
      </c>
      <c r="AG29" s="326">
        <v>0</v>
      </c>
      <c r="AH29" s="326">
        <v>0</v>
      </c>
      <c r="AI29" s="326">
        <v>0</v>
      </c>
      <c r="AJ29" s="326">
        <v>0</v>
      </c>
      <c r="AK29" s="626">
        <f t="shared" si="57"/>
        <v>2.96</v>
      </c>
      <c r="AL29" s="493">
        <f>I29+AD29</f>
        <v>1384169</v>
      </c>
      <c r="AM29" s="492">
        <f>J29+U29</f>
        <v>1026832</v>
      </c>
      <c r="AN29" s="492">
        <f t="shared" si="58"/>
        <v>0</v>
      </c>
      <c r="AO29" s="492">
        <f>K29+AA29</f>
        <v>347069</v>
      </c>
      <c r="AP29" s="492">
        <f>L29+AB29</f>
        <v>10268</v>
      </c>
      <c r="AQ29" s="492">
        <v>0</v>
      </c>
      <c r="AR29" s="491">
        <f t="shared" si="59"/>
        <v>2.96</v>
      </c>
    </row>
    <row r="30" spans="1:44" s="152" customFormat="1" x14ac:dyDescent="0.2">
      <c r="A30" s="107">
        <v>6</v>
      </c>
      <c r="B30" s="15">
        <v>4408</v>
      </c>
      <c r="C30" s="15">
        <v>600074528</v>
      </c>
      <c r="D30" s="15">
        <v>70982163</v>
      </c>
      <c r="E30" s="116" t="s">
        <v>151</v>
      </c>
      <c r="F30" s="15"/>
      <c r="G30" s="106"/>
      <c r="H30" s="560"/>
      <c r="I30" s="794">
        <f t="shared" ref="I30:AR30" si="60">SUM(I28:I29)</f>
        <v>10518419</v>
      </c>
      <c r="J30" s="343">
        <f t="shared" si="60"/>
        <v>7802981</v>
      </c>
      <c r="K30" s="343">
        <f t="shared" si="60"/>
        <v>2637408</v>
      </c>
      <c r="L30" s="343">
        <f t="shared" si="60"/>
        <v>78030</v>
      </c>
      <c r="M30" s="343">
        <f t="shared" si="60"/>
        <v>0</v>
      </c>
      <c r="N30" s="35">
        <f t="shared" si="60"/>
        <v>12.74</v>
      </c>
      <c r="O30" s="346">
        <f t="shared" si="60"/>
        <v>0</v>
      </c>
      <c r="P30" s="343">
        <f t="shared" si="60"/>
        <v>1026832</v>
      </c>
      <c r="Q30" s="343">
        <f t="shared" si="60"/>
        <v>0</v>
      </c>
      <c r="R30" s="343">
        <f t="shared" si="60"/>
        <v>0</v>
      </c>
      <c r="S30" s="343">
        <f t="shared" si="60"/>
        <v>0</v>
      </c>
      <c r="T30" s="343">
        <f t="shared" si="60"/>
        <v>0</v>
      </c>
      <c r="U30" s="343">
        <f t="shared" si="60"/>
        <v>1026832</v>
      </c>
      <c r="V30" s="343">
        <f t="shared" si="60"/>
        <v>0</v>
      </c>
      <c r="W30" s="343">
        <f t="shared" si="60"/>
        <v>0</v>
      </c>
      <c r="X30" s="343">
        <f t="shared" si="60"/>
        <v>0</v>
      </c>
      <c r="Y30" s="343">
        <f t="shared" si="60"/>
        <v>0</v>
      </c>
      <c r="Z30" s="343">
        <f t="shared" si="60"/>
        <v>1026832</v>
      </c>
      <c r="AA30" s="343">
        <f t="shared" si="60"/>
        <v>347069</v>
      </c>
      <c r="AB30" s="343">
        <f t="shared" si="60"/>
        <v>10268</v>
      </c>
      <c r="AC30" s="343">
        <f t="shared" si="60"/>
        <v>0</v>
      </c>
      <c r="AD30" s="799">
        <f t="shared" si="60"/>
        <v>1384169</v>
      </c>
      <c r="AE30" s="803">
        <f t="shared" si="60"/>
        <v>0</v>
      </c>
      <c r="AF30" s="344">
        <f t="shared" si="60"/>
        <v>2.96</v>
      </c>
      <c r="AG30" s="344">
        <f t="shared" si="60"/>
        <v>0</v>
      </c>
      <c r="AH30" s="344">
        <f t="shared" si="60"/>
        <v>0</v>
      </c>
      <c r="AI30" s="344">
        <f t="shared" si="60"/>
        <v>0</v>
      </c>
      <c r="AJ30" s="344">
        <f t="shared" si="60"/>
        <v>0</v>
      </c>
      <c r="AK30" s="35">
        <f t="shared" si="60"/>
        <v>2.96</v>
      </c>
      <c r="AL30" s="346">
        <f t="shared" si="60"/>
        <v>11902588</v>
      </c>
      <c r="AM30" s="343">
        <f t="shared" si="60"/>
        <v>8829813</v>
      </c>
      <c r="AN30" s="343">
        <f t="shared" si="60"/>
        <v>0</v>
      </c>
      <c r="AO30" s="343">
        <f t="shared" si="60"/>
        <v>2984477</v>
      </c>
      <c r="AP30" s="343">
        <f t="shared" si="60"/>
        <v>88298</v>
      </c>
      <c r="AQ30" s="343">
        <f t="shared" si="60"/>
        <v>0</v>
      </c>
      <c r="AR30" s="344">
        <f t="shared" si="60"/>
        <v>15.7</v>
      </c>
    </row>
    <row r="31" spans="1:44" s="152" customFormat="1" x14ac:dyDescent="0.2">
      <c r="A31" s="140">
        <v>7</v>
      </c>
      <c r="B31" s="141">
        <v>4423</v>
      </c>
      <c r="C31" s="141">
        <v>600074439</v>
      </c>
      <c r="D31" s="141">
        <v>70982155</v>
      </c>
      <c r="E31" s="139" t="s">
        <v>152</v>
      </c>
      <c r="F31" s="141">
        <v>3111</v>
      </c>
      <c r="G31" s="117" t="s">
        <v>277</v>
      </c>
      <c r="H31" s="565" t="s">
        <v>262</v>
      </c>
      <c r="I31" s="586">
        <f>SUM(J31:L31)</f>
        <v>6889875</v>
      </c>
      <c r="J31" s="490">
        <v>5111183</v>
      </c>
      <c r="K31" s="55">
        <f t="shared" ref="K31:K32" si="61">ROUND(J31*33.8%,0)</f>
        <v>1727580</v>
      </c>
      <c r="L31" s="55">
        <f t="shared" ref="L31:L32" si="62">ROUND(J31*1%,0)</f>
        <v>51112</v>
      </c>
      <c r="M31" s="55">
        <v>0</v>
      </c>
      <c r="N31" s="631">
        <v>8</v>
      </c>
      <c r="O31" s="445">
        <f>V31*-1</f>
        <v>0</v>
      </c>
      <c r="P31" s="325">
        <v>0</v>
      </c>
      <c r="Q31" s="325">
        <v>0</v>
      </c>
      <c r="R31" s="325">
        <v>0</v>
      </c>
      <c r="S31" s="325">
        <v>0</v>
      </c>
      <c r="T31" s="325">
        <v>0</v>
      </c>
      <c r="U31" s="492">
        <f t="shared" ref="U31:U32" si="63">O31+P31+Q31+R31+S31+T31</f>
        <v>0</v>
      </c>
      <c r="V31" s="325">
        <v>0</v>
      </c>
      <c r="W31" s="325">
        <v>0</v>
      </c>
      <c r="X31" s="325">
        <v>0</v>
      </c>
      <c r="Y31" s="492">
        <f t="shared" ref="Y31:Y32" si="64">V31+W31+X31</f>
        <v>0</v>
      </c>
      <c r="Z31" s="492">
        <f t="shared" ref="Z31:Z32" si="65">U31+Y31</f>
        <v>0</v>
      </c>
      <c r="AA31" s="494">
        <f t="shared" ref="AA31:AA32" si="66">ROUND((U31+Y31)*33.8%,0)</f>
        <v>0</v>
      </c>
      <c r="AB31" s="494">
        <f t="shared" ref="AB31:AB32" si="67">ROUND(U31*1%,0)</f>
        <v>0</v>
      </c>
      <c r="AC31" s="492">
        <v>0</v>
      </c>
      <c r="AD31" s="789">
        <f t="shared" ref="AD31:AD32" si="68">Z31+AA31+AB31+AC31</f>
        <v>0</v>
      </c>
      <c r="AE31" s="715">
        <v>0</v>
      </c>
      <c r="AF31" s="326">
        <v>0</v>
      </c>
      <c r="AG31" s="326">
        <v>0</v>
      </c>
      <c r="AH31" s="326">
        <v>0</v>
      </c>
      <c r="AI31" s="326">
        <v>0</v>
      </c>
      <c r="AJ31" s="326">
        <v>0</v>
      </c>
      <c r="AK31" s="626">
        <f t="shared" ref="AK31:AK32" si="69">SUM(AE31:AJ31)</f>
        <v>0</v>
      </c>
      <c r="AL31" s="493">
        <f>I31+AD31</f>
        <v>6889875</v>
      </c>
      <c r="AM31" s="492">
        <f>J31+U31</f>
        <v>5111183</v>
      </c>
      <c r="AN31" s="492">
        <f t="shared" ref="AN31:AN32" si="70">Y31</f>
        <v>0</v>
      </c>
      <c r="AO31" s="492">
        <f>K31+AA31</f>
        <v>1727580</v>
      </c>
      <c r="AP31" s="492">
        <f>L31+AB31</f>
        <v>51112</v>
      </c>
      <c r="AQ31" s="492">
        <v>0</v>
      </c>
      <c r="AR31" s="491">
        <f t="shared" ref="AR31:AR32" si="71">N31+AK31</f>
        <v>8</v>
      </c>
    </row>
    <row r="32" spans="1:44" s="152" customFormat="1" x14ac:dyDescent="0.2">
      <c r="A32" s="140">
        <v>7</v>
      </c>
      <c r="B32" s="141">
        <v>4423</v>
      </c>
      <c r="C32" s="141">
        <v>600074439</v>
      </c>
      <c r="D32" s="141">
        <v>70982155</v>
      </c>
      <c r="E32" s="139" t="s">
        <v>152</v>
      </c>
      <c r="F32" s="141">
        <v>3111</v>
      </c>
      <c r="G32" s="117" t="s">
        <v>278</v>
      </c>
      <c r="H32" s="565" t="s">
        <v>263</v>
      </c>
      <c r="I32" s="586">
        <f>SUM(J32:L32)</f>
        <v>0</v>
      </c>
      <c r="J32" s="490">
        <v>0</v>
      </c>
      <c r="K32" s="55">
        <f t="shared" si="61"/>
        <v>0</v>
      </c>
      <c r="L32" s="55">
        <f t="shared" si="62"/>
        <v>0</v>
      </c>
      <c r="M32" s="55">
        <v>0</v>
      </c>
      <c r="N32" s="631">
        <v>0</v>
      </c>
      <c r="O32" s="440">
        <f>V32*-1</f>
        <v>0</v>
      </c>
      <c r="P32" s="325">
        <v>0</v>
      </c>
      <c r="Q32" s="325">
        <v>0</v>
      </c>
      <c r="R32" s="325">
        <v>0</v>
      </c>
      <c r="S32" s="325">
        <v>0</v>
      </c>
      <c r="T32" s="325">
        <v>0</v>
      </c>
      <c r="U32" s="492">
        <f t="shared" si="63"/>
        <v>0</v>
      </c>
      <c r="V32" s="325">
        <v>0</v>
      </c>
      <c r="W32" s="325">
        <v>0</v>
      </c>
      <c r="X32" s="325">
        <v>0</v>
      </c>
      <c r="Y32" s="492">
        <f t="shared" si="64"/>
        <v>0</v>
      </c>
      <c r="Z32" s="492">
        <f t="shared" si="65"/>
        <v>0</v>
      </c>
      <c r="AA32" s="494">
        <f t="shared" si="66"/>
        <v>0</v>
      </c>
      <c r="AB32" s="494">
        <f t="shared" si="67"/>
        <v>0</v>
      </c>
      <c r="AC32" s="492">
        <v>0</v>
      </c>
      <c r="AD32" s="789">
        <f t="shared" si="68"/>
        <v>0</v>
      </c>
      <c r="AE32" s="715">
        <v>0</v>
      </c>
      <c r="AF32" s="326">
        <v>0</v>
      </c>
      <c r="AG32" s="326">
        <v>0</v>
      </c>
      <c r="AH32" s="326">
        <v>0</v>
      </c>
      <c r="AI32" s="326">
        <v>0</v>
      </c>
      <c r="AJ32" s="326">
        <v>0</v>
      </c>
      <c r="AK32" s="626">
        <f t="shared" si="69"/>
        <v>0</v>
      </c>
      <c r="AL32" s="493">
        <f>I32+AD32</f>
        <v>0</v>
      </c>
      <c r="AM32" s="492">
        <f>J32+U32</f>
        <v>0</v>
      </c>
      <c r="AN32" s="492">
        <f t="shared" si="70"/>
        <v>0</v>
      </c>
      <c r="AO32" s="492">
        <f>K32+AA32</f>
        <v>0</v>
      </c>
      <c r="AP32" s="492">
        <f>L32+AB32</f>
        <v>0</v>
      </c>
      <c r="AQ32" s="492">
        <v>0</v>
      </c>
      <c r="AR32" s="491">
        <f t="shared" si="71"/>
        <v>0</v>
      </c>
    </row>
    <row r="33" spans="1:44" s="152" customFormat="1" x14ac:dyDescent="0.2">
      <c r="A33" s="107">
        <v>7</v>
      </c>
      <c r="B33" s="15">
        <v>4423</v>
      </c>
      <c r="C33" s="15">
        <v>600074439</v>
      </c>
      <c r="D33" s="15">
        <v>70982155</v>
      </c>
      <c r="E33" s="116" t="s">
        <v>153</v>
      </c>
      <c r="F33" s="15"/>
      <c r="G33" s="106"/>
      <c r="H33" s="560"/>
      <c r="I33" s="794">
        <f t="shared" ref="I33:AR33" si="72">SUM(I31:I32)</f>
        <v>6889875</v>
      </c>
      <c r="J33" s="343">
        <f t="shared" si="72"/>
        <v>5111183</v>
      </c>
      <c r="K33" s="343">
        <f t="shared" si="72"/>
        <v>1727580</v>
      </c>
      <c r="L33" s="343">
        <f t="shared" si="72"/>
        <v>51112</v>
      </c>
      <c r="M33" s="343">
        <f t="shared" si="72"/>
        <v>0</v>
      </c>
      <c r="N33" s="35">
        <f t="shared" si="72"/>
        <v>8</v>
      </c>
      <c r="O33" s="346">
        <f t="shared" si="72"/>
        <v>0</v>
      </c>
      <c r="P33" s="343">
        <f t="shared" si="72"/>
        <v>0</v>
      </c>
      <c r="Q33" s="343">
        <f t="shared" si="72"/>
        <v>0</v>
      </c>
      <c r="R33" s="343">
        <f t="shared" si="72"/>
        <v>0</v>
      </c>
      <c r="S33" s="343">
        <f t="shared" si="72"/>
        <v>0</v>
      </c>
      <c r="T33" s="343">
        <f t="shared" si="72"/>
        <v>0</v>
      </c>
      <c r="U33" s="343">
        <f t="shared" si="72"/>
        <v>0</v>
      </c>
      <c r="V33" s="343">
        <f t="shared" si="72"/>
        <v>0</v>
      </c>
      <c r="W33" s="343">
        <f t="shared" si="72"/>
        <v>0</v>
      </c>
      <c r="X33" s="343">
        <f t="shared" si="72"/>
        <v>0</v>
      </c>
      <c r="Y33" s="343">
        <f t="shared" si="72"/>
        <v>0</v>
      </c>
      <c r="Z33" s="343">
        <f t="shared" si="72"/>
        <v>0</v>
      </c>
      <c r="AA33" s="343">
        <f t="shared" si="72"/>
        <v>0</v>
      </c>
      <c r="AB33" s="343">
        <f t="shared" si="72"/>
        <v>0</v>
      </c>
      <c r="AC33" s="343">
        <f t="shared" si="72"/>
        <v>0</v>
      </c>
      <c r="AD33" s="799">
        <f t="shared" si="72"/>
        <v>0</v>
      </c>
      <c r="AE33" s="803">
        <f t="shared" si="72"/>
        <v>0</v>
      </c>
      <c r="AF33" s="344">
        <f t="shared" si="72"/>
        <v>0</v>
      </c>
      <c r="AG33" s="344">
        <f t="shared" si="72"/>
        <v>0</v>
      </c>
      <c r="AH33" s="344">
        <f t="shared" si="72"/>
        <v>0</v>
      </c>
      <c r="AI33" s="344">
        <f t="shared" si="72"/>
        <v>0</v>
      </c>
      <c r="AJ33" s="344">
        <f t="shared" si="72"/>
        <v>0</v>
      </c>
      <c r="AK33" s="35">
        <f t="shared" si="72"/>
        <v>0</v>
      </c>
      <c r="AL33" s="346">
        <f t="shared" si="72"/>
        <v>6889875</v>
      </c>
      <c r="AM33" s="343">
        <f t="shared" si="72"/>
        <v>5111183</v>
      </c>
      <c r="AN33" s="343">
        <f t="shared" si="72"/>
        <v>0</v>
      </c>
      <c r="AO33" s="343">
        <f t="shared" si="72"/>
        <v>1727580</v>
      </c>
      <c r="AP33" s="343">
        <f t="shared" si="72"/>
        <v>51112</v>
      </c>
      <c r="AQ33" s="343">
        <f t="shared" si="72"/>
        <v>0</v>
      </c>
      <c r="AR33" s="344">
        <f t="shared" si="72"/>
        <v>8</v>
      </c>
    </row>
    <row r="34" spans="1:44" s="152" customFormat="1" x14ac:dyDescent="0.2">
      <c r="A34" s="140">
        <v>8</v>
      </c>
      <c r="B34" s="141">
        <v>4404</v>
      </c>
      <c r="C34" s="141">
        <v>600074331</v>
      </c>
      <c r="D34" s="141">
        <v>831298</v>
      </c>
      <c r="E34" s="139" t="s">
        <v>154</v>
      </c>
      <c r="F34" s="141">
        <v>3111</v>
      </c>
      <c r="G34" s="117" t="s">
        <v>277</v>
      </c>
      <c r="H34" s="565" t="s">
        <v>262</v>
      </c>
      <c r="I34" s="586">
        <f>SUM(J34:L34)</f>
        <v>20650224</v>
      </c>
      <c r="J34" s="490">
        <v>15319157</v>
      </c>
      <c r="K34" s="55">
        <f t="shared" ref="K34:K35" si="73">ROUND(J34*33.8%,0)</f>
        <v>5177875</v>
      </c>
      <c r="L34" s="55">
        <f t="shared" ref="L34:L35" si="74">ROUND(J34*1%,0)</f>
        <v>153192</v>
      </c>
      <c r="M34" s="55">
        <v>0</v>
      </c>
      <c r="N34" s="631">
        <v>26.2</v>
      </c>
      <c r="O34" s="445">
        <f>V34*-1</f>
        <v>0</v>
      </c>
      <c r="P34" s="325">
        <v>0</v>
      </c>
      <c r="Q34" s="325">
        <v>0</v>
      </c>
      <c r="R34" s="325">
        <v>0</v>
      </c>
      <c r="S34" s="325">
        <v>0</v>
      </c>
      <c r="T34" s="325">
        <v>0</v>
      </c>
      <c r="U34" s="492">
        <f t="shared" ref="U34:U35" si="75">O34+P34+Q34+R34+S34+T34</f>
        <v>0</v>
      </c>
      <c r="V34" s="325">
        <v>0</v>
      </c>
      <c r="W34" s="325">
        <v>0</v>
      </c>
      <c r="X34" s="325">
        <v>0</v>
      </c>
      <c r="Y34" s="492">
        <f t="shared" ref="Y34:Y35" si="76">V34+W34+X34</f>
        <v>0</v>
      </c>
      <c r="Z34" s="492">
        <f t="shared" ref="Z34:Z35" si="77">U34+Y34</f>
        <v>0</v>
      </c>
      <c r="AA34" s="494">
        <f t="shared" ref="AA34:AA35" si="78">ROUND((U34+Y34)*33.8%,0)</f>
        <v>0</v>
      </c>
      <c r="AB34" s="494">
        <f t="shared" ref="AB34:AB35" si="79">ROUND(U34*1%,0)</f>
        <v>0</v>
      </c>
      <c r="AC34" s="492">
        <v>0</v>
      </c>
      <c r="AD34" s="789">
        <f t="shared" ref="AD34:AD35" si="80">Z34+AA34+AB34+AC34</f>
        <v>0</v>
      </c>
      <c r="AE34" s="715">
        <v>0</v>
      </c>
      <c r="AF34" s="326">
        <v>0</v>
      </c>
      <c r="AG34" s="326">
        <v>0</v>
      </c>
      <c r="AH34" s="326">
        <v>0</v>
      </c>
      <c r="AI34" s="326">
        <v>0</v>
      </c>
      <c r="AJ34" s="326">
        <v>0</v>
      </c>
      <c r="AK34" s="626">
        <f t="shared" ref="AK34:AK35" si="81">SUM(AE34:AJ34)</f>
        <v>0</v>
      </c>
      <c r="AL34" s="493">
        <f>I34+AD34</f>
        <v>20650224</v>
      </c>
      <c r="AM34" s="492">
        <f>J34+U34</f>
        <v>15319157</v>
      </c>
      <c r="AN34" s="492">
        <f t="shared" ref="AN34:AN35" si="82">Y34</f>
        <v>0</v>
      </c>
      <c r="AO34" s="492">
        <f>K34+AA34</f>
        <v>5177875</v>
      </c>
      <c r="AP34" s="492">
        <f>L34+AB34</f>
        <v>153192</v>
      </c>
      <c r="AQ34" s="492">
        <v>0</v>
      </c>
      <c r="AR34" s="491">
        <f t="shared" ref="AR34:AR35" si="83">N34+AK34</f>
        <v>26.2</v>
      </c>
    </row>
    <row r="35" spans="1:44" s="152" customFormat="1" x14ac:dyDescent="0.2">
      <c r="A35" s="140">
        <v>8</v>
      </c>
      <c r="B35" s="141">
        <v>4404</v>
      </c>
      <c r="C35" s="141">
        <v>600074331</v>
      </c>
      <c r="D35" s="141">
        <v>831298</v>
      </c>
      <c r="E35" s="139" t="s">
        <v>154</v>
      </c>
      <c r="F35" s="141">
        <v>3111</v>
      </c>
      <c r="G35" s="117" t="s">
        <v>278</v>
      </c>
      <c r="H35" s="565" t="s">
        <v>263</v>
      </c>
      <c r="I35" s="586">
        <f>SUM(J35:L35)</f>
        <v>0</v>
      </c>
      <c r="J35" s="490">
        <v>0</v>
      </c>
      <c r="K35" s="55">
        <f t="shared" si="73"/>
        <v>0</v>
      </c>
      <c r="L35" s="55">
        <f t="shared" si="74"/>
        <v>0</v>
      </c>
      <c r="M35" s="55">
        <v>0</v>
      </c>
      <c r="N35" s="631">
        <v>0</v>
      </c>
      <c r="O35" s="440">
        <f>V35*-1</f>
        <v>0</v>
      </c>
      <c r="P35" s="325">
        <v>2104814</v>
      </c>
      <c r="Q35" s="325">
        <v>0</v>
      </c>
      <c r="R35" s="325">
        <v>0</v>
      </c>
      <c r="S35" s="325">
        <v>0</v>
      </c>
      <c r="T35" s="325">
        <v>0</v>
      </c>
      <c r="U35" s="492">
        <f t="shared" si="75"/>
        <v>2104814</v>
      </c>
      <c r="V35" s="325">
        <v>0</v>
      </c>
      <c r="W35" s="325">
        <v>0</v>
      </c>
      <c r="X35" s="325">
        <v>0</v>
      </c>
      <c r="Y35" s="492">
        <f t="shared" si="76"/>
        <v>0</v>
      </c>
      <c r="Z35" s="492">
        <f t="shared" si="77"/>
        <v>2104814</v>
      </c>
      <c r="AA35" s="494">
        <f t="shared" si="78"/>
        <v>711427</v>
      </c>
      <c r="AB35" s="494">
        <f t="shared" si="79"/>
        <v>21048</v>
      </c>
      <c r="AC35" s="492">
        <v>0</v>
      </c>
      <c r="AD35" s="789">
        <f t="shared" si="80"/>
        <v>2837289</v>
      </c>
      <c r="AE35" s="715">
        <v>0</v>
      </c>
      <c r="AF35" s="326">
        <v>6.05</v>
      </c>
      <c r="AG35" s="326">
        <v>0</v>
      </c>
      <c r="AH35" s="326">
        <v>0</v>
      </c>
      <c r="AI35" s="326">
        <v>0</v>
      </c>
      <c r="AJ35" s="326">
        <v>0</v>
      </c>
      <c r="AK35" s="626">
        <f t="shared" si="81"/>
        <v>6.05</v>
      </c>
      <c r="AL35" s="493">
        <f>I35+AD35</f>
        <v>2837289</v>
      </c>
      <c r="AM35" s="492">
        <f>J35+U35</f>
        <v>2104814</v>
      </c>
      <c r="AN35" s="492">
        <f t="shared" si="82"/>
        <v>0</v>
      </c>
      <c r="AO35" s="492">
        <f>K35+AA35</f>
        <v>711427</v>
      </c>
      <c r="AP35" s="492">
        <f>L35+AB35</f>
        <v>21048</v>
      </c>
      <c r="AQ35" s="492">
        <v>0</v>
      </c>
      <c r="AR35" s="491">
        <f t="shared" si="83"/>
        <v>6.05</v>
      </c>
    </row>
    <row r="36" spans="1:44" s="152" customFormat="1" x14ac:dyDescent="0.2">
      <c r="A36" s="107">
        <v>8</v>
      </c>
      <c r="B36" s="15">
        <v>4404</v>
      </c>
      <c r="C36" s="15">
        <v>600074331</v>
      </c>
      <c r="D36" s="15">
        <v>831298</v>
      </c>
      <c r="E36" s="116" t="s">
        <v>155</v>
      </c>
      <c r="F36" s="15"/>
      <c r="G36" s="106"/>
      <c r="H36" s="560"/>
      <c r="I36" s="794">
        <f t="shared" ref="I36:AR36" si="84">SUM(I34:I35)</f>
        <v>20650224</v>
      </c>
      <c r="J36" s="343">
        <f t="shared" si="84"/>
        <v>15319157</v>
      </c>
      <c r="K36" s="343">
        <f t="shared" si="84"/>
        <v>5177875</v>
      </c>
      <c r="L36" s="343">
        <f t="shared" si="84"/>
        <v>153192</v>
      </c>
      <c r="M36" s="343">
        <f t="shared" si="84"/>
        <v>0</v>
      </c>
      <c r="N36" s="35">
        <f t="shared" si="84"/>
        <v>26.2</v>
      </c>
      <c r="O36" s="346">
        <f t="shared" si="84"/>
        <v>0</v>
      </c>
      <c r="P36" s="343">
        <f t="shared" si="84"/>
        <v>2104814</v>
      </c>
      <c r="Q36" s="343">
        <f t="shared" si="84"/>
        <v>0</v>
      </c>
      <c r="R36" s="343">
        <f t="shared" si="84"/>
        <v>0</v>
      </c>
      <c r="S36" s="343">
        <f t="shared" si="84"/>
        <v>0</v>
      </c>
      <c r="T36" s="343">
        <f t="shared" si="84"/>
        <v>0</v>
      </c>
      <c r="U36" s="343">
        <f t="shared" si="84"/>
        <v>2104814</v>
      </c>
      <c r="V36" s="343">
        <f t="shared" si="84"/>
        <v>0</v>
      </c>
      <c r="W36" s="343">
        <f t="shared" si="84"/>
        <v>0</v>
      </c>
      <c r="X36" s="343">
        <f t="shared" si="84"/>
        <v>0</v>
      </c>
      <c r="Y36" s="343">
        <f t="shared" si="84"/>
        <v>0</v>
      </c>
      <c r="Z36" s="343">
        <f t="shared" si="84"/>
        <v>2104814</v>
      </c>
      <c r="AA36" s="343">
        <f t="shared" si="84"/>
        <v>711427</v>
      </c>
      <c r="AB36" s="343">
        <f t="shared" si="84"/>
        <v>21048</v>
      </c>
      <c r="AC36" s="343">
        <f t="shared" si="84"/>
        <v>0</v>
      </c>
      <c r="AD36" s="799">
        <f t="shared" si="84"/>
        <v>2837289</v>
      </c>
      <c r="AE36" s="803">
        <f t="shared" si="84"/>
        <v>0</v>
      </c>
      <c r="AF36" s="344">
        <f t="shared" si="84"/>
        <v>6.05</v>
      </c>
      <c r="AG36" s="344">
        <f t="shared" si="84"/>
        <v>0</v>
      </c>
      <c r="AH36" s="344">
        <f t="shared" si="84"/>
        <v>0</v>
      </c>
      <c r="AI36" s="344">
        <f t="shared" si="84"/>
        <v>0</v>
      </c>
      <c r="AJ36" s="344">
        <f t="shared" si="84"/>
        <v>0</v>
      </c>
      <c r="AK36" s="35">
        <f t="shared" si="84"/>
        <v>6.05</v>
      </c>
      <c r="AL36" s="346">
        <f t="shared" si="84"/>
        <v>23487513</v>
      </c>
      <c r="AM36" s="343">
        <f t="shared" si="84"/>
        <v>17423971</v>
      </c>
      <c r="AN36" s="343">
        <f t="shared" si="84"/>
        <v>0</v>
      </c>
      <c r="AO36" s="343">
        <f t="shared" si="84"/>
        <v>5889302</v>
      </c>
      <c r="AP36" s="343">
        <f t="shared" si="84"/>
        <v>174240</v>
      </c>
      <c r="AQ36" s="343">
        <f t="shared" si="84"/>
        <v>0</v>
      </c>
      <c r="AR36" s="344">
        <f t="shared" si="84"/>
        <v>32.25</v>
      </c>
    </row>
    <row r="37" spans="1:44" s="152" customFormat="1" x14ac:dyDescent="0.2">
      <c r="A37" s="140">
        <v>9</v>
      </c>
      <c r="B37" s="141">
        <v>4439</v>
      </c>
      <c r="C37" s="141">
        <v>600074951</v>
      </c>
      <c r="D37" s="141">
        <v>48283088</v>
      </c>
      <c r="E37" s="139" t="s">
        <v>156</v>
      </c>
      <c r="F37" s="141">
        <v>3111</v>
      </c>
      <c r="G37" s="117" t="s">
        <v>277</v>
      </c>
      <c r="H37" s="565" t="s">
        <v>262</v>
      </c>
      <c r="I37" s="586">
        <f>SUM(J37:L37)</f>
        <v>4775913</v>
      </c>
      <c r="J37" s="490">
        <v>3542962</v>
      </c>
      <c r="K37" s="55">
        <f t="shared" ref="K37:K40" si="85">ROUND(J37*33.8%,0)</f>
        <v>1197521</v>
      </c>
      <c r="L37" s="55">
        <f t="shared" ref="L37:L40" si="86">ROUND(J37*1%,0)</f>
        <v>35430</v>
      </c>
      <c r="M37" s="55">
        <v>0</v>
      </c>
      <c r="N37" s="631">
        <v>6</v>
      </c>
      <c r="O37" s="445">
        <f t="shared" ref="O37:O40" si="87">V37*-1</f>
        <v>0</v>
      </c>
      <c r="P37" s="325">
        <v>0</v>
      </c>
      <c r="Q37" s="325">
        <v>0</v>
      </c>
      <c r="R37" s="325">
        <v>0</v>
      </c>
      <c r="S37" s="325">
        <v>0</v>
      </c>
      <c r="T37" s="325">
        <v>0</v>
      </c>
      <c r="U37" s="492">
        <f t="shared" ref="U37:U40" si="88">O37+P37+Q37+R37+S37+T37</f>
        <v>0</v>
      </c>
      <c r="V37" s="325">
        <v>0</v>
      </c>
      <c r="W37" s="325">
        <v>0</v>
      </c>
      <c r="X37" s="325">
        <v>0</v>
      </c>
      <c r="Y37" s="492">
        <f t="shared" ref="Y37:Y40" si="89">V37+W37+X37</f>
        <v>0</v>
      </c>
      <c r="Z37" s="492">
        <f t="shared" ref="Z37:Z40" si="90">U37+Y37</f>
        <v>0</v>
      </c>
      <c r="AA37" s="494">
        <f t="shared" ref="AA37:AA40" si="91">ROUND((U37+Y37)*33.8%,0)</f>
        <v>0</v>
      </c>
      <c r="AB37" s="494">
        <f t="shared" ref="AB37:AB40" si="92">ROUND(U37*1%,0)</f>
        <v>0</v>
      </c>
      <c r="AC37" s="492">
        <v>0</v>
      </c>
      <c r="AD37" s="789">
        <f t="shared" ref="AD37:AD40" si="93">Z37+AA37+AB37+AC37</f>
        <v>0</v>
      </c>
      <c r="AE37" s="715">
        <v>0</v>
      </c>
      <c r="AF37" s="326">
        <v>0</v>
      </c>
      <c r="AG37" s="326">
        <v>0</v>
      </c>
      <c r="AH37" s="326">
        <v>0</v>
      </c>
      <c r="AI37" s="326">
        <v>0</v>
      </c>
      <c r="AJ37" s="326">
        <v>0</v>
      </c>
      <c r="AK37" s="626">
        <f t="shared" ref="AK37:AK40" si="94">SUM(AE37:AJ37)</f>
        <v>0</v>
      </c>
      <c r="AL37" s="493">
        <f>I37+AD37</f>
        <v>4775913</v>
      </c>
      <c r="AM37" s="492">
        <f>J37+U37</f>
        <v>3542962</v>
      </c>
      <c r="AN37" s="492">
        <f t="shared" ref="AN37:AN40" si="95">Y37</f>
        <v>0</v>
      </c>
      <c r="AO37" s="492">
        <f t="shared" ref="AO37:AP40" si="96">K37+AA37</f>
        <v>1197521</v>
      </c>
      <c r="AP37" s="492">
        <f t="shared" si="96"/>
        <v>35430</v>
      </c>
      <c r="AQ37" s="492">
        <v>0</v>
      </c>
      <c r="AR37" s="491">
        <f t="shared" ref="AR37:AR40" si="97">N37+AK37</f>
        <v>6</v>
      </c>
    </row>
    <row r="38" spans="1:44" s="152" customFormat="1" x14ac:dyDescent="0.2">
      <c r="A38" s="140">
        <v>9</v>
      </c>
      <c r="B38" s="141">
        <v>4439</v>
      </c>
      <c r="C38" s="141">
        <v>600074951</v>
      </c>
      <c r="D38" s="141">
        <v>48283088</v>
      </c>
      <c r="E38" s="139" t="s">
        <v>156</v>
      </c>
      <c r="F38" s="141">
        <v>3113</v>
      </c>
      <c r="G38" s="117" t="s">
        <v>280</v>
      </c>
      <c r="H38" s="565" t="s">
        <v>262</v>
      </c>
      <c r="I38" s="586">
        <f>SUM(J38:L38)</f>
        <v>23406197</v>
      </c>
      <c r="J38" s="490">
        <v>17363648</v>
      </c>
      <c r="K38" s="55">
        <f t="shared" si="85"/>
        <v>5868913</v>
      </c>
      <c r="L38" s="55">
        <f t="shared" si="86"/>
        <v>173636</v>
      </c>
      <c r="M38" s="55">
        <v>0</v>
      </c>
      <c r="N38" s="631">
        <v>25.36</v>
      </c>
      <c r="O38" s="440">
        <f t="shared" si="87"/>
        <v>-12000</v>
      </c>
      <c r="P38" s="325">
        <v>0</v>
      </c>
      <c r="Q38" s="325">
        <v>0</v>
      </c>
      <c r="R38" s="325">
        <v>0</v>
      </c>
      <c r="S38" s="325">
        <v>0</v>
      </c>
      <c r="T38" s="325">
        <v>0</v>
      </c>
      <c r="U38" s="492">
        <f t="shared" si="88"/>
        <v>-12000</v>
      </c>
      <c r="V38" s="325">
        <v>12000</v>
      </c>
      <c r="W38" s="325">
        <v>0</v>
      </c>
      <c r="X38" s="325">
        <v>0</v>
      </c>
      <c r="Y38" s="492">
        <f t="shared" si="89"/>
        <v>12000</v>
      </c>
      <c r="Z38" s="492">
        <f t="shared" si="90"/>
        <v>0</v>
      </c>
      <c r="AA38" s="494">
        <f t="shared" si="91"/>
        <v>0</v>
      </c>
      <c r="AB38" s="494">
        <f t="shared" si="92"/>
        <v>-120</v>
      </c>
      <c r="AC38" s="492">
        <v>0</v>
      </c>
      <c r="AD38" s="789">
        <f t="shared" si="93"/>
        <v>-120</v>
      </c>
      <c r="AE38" s="715">
        <v>-0.02</v>
      </c>
      <c r="AF38" s="326">
        <v>0</v>
      </c>
      <c r="AG38" s="326">
        <v>0</v>
      </c>
      <c r="AH38" s="326">
        <v>0</v>
      </c>
      <c r="AI38" s="326">
        <v>0</v>
      </c>
      <c r="AJ38" s="326">
        <v>0</v>
      </c>
      <c r="AK38" s="626">
        <f t="shared" si="94"/>
        <v>-0.02</v>
      </c>
      <c r="AL38" s="493">
        <f>I38+AD38</f>
        <v>23406077</v>
      </c>
      <c r="AM38" s="492">
        <f>J38+U38</f>
        <v>17351648</v>
      </c>
      <c r="AN38" s="492">
        <f t="shared" si="95"/>
        <v>12000</v>
      </c>
      <c r="AO38" s="492">
        <f t="shared" si="96"/>
        <v>5868913</v>
      </c>
      <c r="AP38" s="492">
        <f t="shared" si="96"/>
        <v>173516</v>
      </c>
      <c r="AQ38" s="492">
        <v>0</v>
      </c>
      <c r="AR38" s="491">
        <f t="shared" si="97"/>
        <v>25.34</v>
      </c>
    </row>
    <row r="39" spans="1:44" s="152" customFormat="1" x14ac:dyDescent="0.2">
      <c r="A39" s="140">
        <v>9</v>
      </c>
      <c r="B39" s="141">
        <v>4439</v>
      </c>
      <c r="C39" s="141">
        <v>600074951</v>
      </c>
      <c r="D39" s="141">
        <v>48283088</v>
      </c>
      <c r="E39" s="139" t="s">
        <v>156</v>
      </c>
      <c r="F39" s="141">
        <v>3113</v>
      </c>
      <c r="G39" s="117" t="s">
        <v>278</v>
      </c>
      <c r="H39" s="565" t="s">
        <v>263</v>
      </c>
      <c r="I39" s="586">
        <f>SUM(J39:L39)</f>
        <v>0</v>
      </c>
      <c r="J39" s="490">
        <v>0</v>
      </c>
      <c r="K39" s="55">
        <f t="shared" si="85"/>
        <v>0</v>
      </c>
      <c r="L39" s="55">
        <f t="shared" si="86"/>
        <v>0</v>
      </c>
      <c r="M39" s="55">
        <v>0</v>
      </c>
      <c r="N39" s="631">
        <v>0</v>
      </c>
      <c r="O39" s="440">
        <f t="shared" si="87"/>
        <v>0</v>
      </c>
      <c r="P39" s="325">
        <f>3201509</f>
        <v>3201509</v>
      </c>
      <c r="Q39" s="325">
        <v>0</v>
      </c>
      <c r="R39" s="325">
        <v>0</v>
      </c>
      <c r="S39" s="325">
        <v>0</v>
      </c>
      <c r="T39" s="325">
        <v>0</v>
      </c>
      <c r="U39" s="492">
        <f t="shared" si="88"/>
        <v>3201509</v>
      </c>
      <c r="V39" s="325">
        <v>0</v>
      </c>
      <c r="W39" s="325">
        <v>0</v>
      </c>
      <c r="X39" s="325">
        <v>0</v>
      </c>
      <c r="Y39" s="492">
        <f t="shared" si="89"/>
        <v>0</v>
      </c>
      <c r="Z39" s="492">
        <f t="shared" si="90"/>
        <v>3201509</v>
      </c>
      <c r="AA39" s="494">
        <f t="shared" si="91"/>
        <v>1082110</v>
      </c>
      <c r="AB39" s="494">
        <f t="shared" si="92"/>
        <v>32015</v>
      </c>
      <c r="AC39" s="492">
        <v>0</v>
      </c>
      <c r="AD39" s="789">
        <f t="shared" si="93"/>
        <v>4315634</v>
      </c>
      <c r="AE39" s="715">
        <v>0</v>
      </c>
      <c r="AF39" s="326">
        <f>8.2</f>
        <v>8.1999999999999993</v>
      </c>
      <c r="AG39" s="326">
        <v>0</v>
      </c>
      <c r="AH39" s="326">
        <v>0</v>
      </c>
      <c r="AI39" s="326">
        <v>0</v>
      </c>
      <c r="AJ39" s="326">
        <v>0</v>
      </c>
      <c r="AK39" s="626">
        <f t="shared" si="94"/>
        <v>8.1999999999999993</v>
      </c>
      <c r="AL39" s="493">
        <f>I39+AD39</f>
        <v>4315634</v>
      </c>
      <c r="AM39" s="492">
        <f>J39+U39</f>
        <v>3201509</v>
      </c>
      <c r="AN39" s="492">
        <f t="shared" si="95"/>
        <v>0</v>
      </c>
      <c r="AO39" s="492">
        <f t="shared" si="96"/>
        <v>1082110</v>
      </c>
      <c r="AP39" s="492">
        <f t="shared" si="96"/>
        <v>32015</v>
      </c>
      <c r="AQ39" s="492">
        <v>0</v>
      </c>
      <c r="AR39" s="491">
        <f t="shared" si="97"/>
        <v>8.1999999999999993</v>
      </c>
    </row>
    <row r="40" spans="1:44" s="152" customFormat="1" x14ac:dyDescent="0.2">
      <c r="A40" s="140">
        <v>9</v>
      </c>
      <c r="B40" s="141">
        <v>4439</v>
      </c>
      <c r="C40" s="141">
        <v>600074951</v>
      </c>
      <c r="D40" s="141">
        <v>48283088</v>
      </c>
      <c r="E40" s="139" t="s">
        <v>156</v>
      </c>
      <c r="F40" s="141">
        <v>3143</v>
      </c>
      <c r="G40" s="117" t="s">
        <v>794</v>
      </c>
      <c r="H40" s="157" t="s">
        <v>262</v>
      </c>
      <c r="I40" s="586">
        <f>SUM(J40:L40)</f>
        <v>2653793</v>
      </c>
      <c r="J40" s="490">
        <v>1968689</v>
      </c>
      <c r="K40" s="55">
        <f t="shared" si="85"/>
        <v>665417</v>
      </c>
      <c r="L40" s="55">
        <f t="shared" si="86"/>
        <v>19687</v>
      </c>
      <c r="M40" s="55">
        <v>0</v>
      </c>
      <c r="N40" s="631">
        <v>3.68</v>
      </c>
      <c r="O40" s="440">
        <f t="shared" si="87"/>
        <v>0</v>
      </c>
      <c r="P40" s="325">
        <v>0</v>
      </c>
      <c r="Q40" s="325">
        <v>0</v>
      </c>
      <c r="R40" s="325">
        <v>0</v>
      </c>
      <c r="S40" s="325">
        <v>0</v>
      </c>
      <c r="T40" s="325">
        <v>0</v>
      </c>
      <c r="U40" s="492">
        <f t="shared" si="88"/>
        <v>0</v>
      </c>
      <c r="V40" s="325">
        <v>0</v>
      </c>
      <c r="W40" s="325">
        <v>0</v>
      </c>
      <c r="X40" s="325">
        <v>0</v>
      </c>
      <c r="Y40" s="492">
        <f t="shared" si="89"/>
        <v>0</v>
      </c>
      <c r="Z40" s="492">
        <f t="shared" si="90"/>
        <v>0</v>
      </c>
      <c r="AA40" s="494">
        <f t="shared" si="91"/>
        <v>0</v>
      </c>
      <c r="AB40" s="494">
        <f t="shared" si="92"/>
        <v>0</v>
      </c>
      <c r="AC40" s="492">
        <v>0</v>
      </c>
      <c r="AD40" s="789">
        <f t="shared" si="93"/>
        <v>0</v>
      </c>
      <c r="AE40" s="715">
        <v>0</v>
      </c>
      <c r="AF40" s="326">
        <v>0</v>
      </c>
      <c r="AG40" s="326">
        <v>0</v>
      </c>
      <c r="AH40" s="326">
        <v>0</v>
      </c>
      <c r="AI40" s="326">
        <v>0</v>
      </c>
      <c r="AJ40" s="326">
        <v>0</v>
      </c>
      <c r="AK40" s="626">
        <f t="shared" si="94"/>
        <v>0</v>
      </c>
      <c r="AL40" s="493">
        <f>I40+AD40</f>
        <v>2653793</v>
      </c>
      <c r="AM40" s="492">
        <f>J40+U40</f>
        <v>1968689</v>
      </c>
      <c r="AN40" s="492">
        <f t="shared" si="95"/>
        <v>0</v>
      </c>
      <c r="AO40" s="492">
        <f t="shared" si="96"/>
        <v>665417</v>
      </c>
      <c r="AP40" s="492">
        <f t="shared" si="96"/>
        <v>19687</v>
      </c>
      <c r="AQ40" s="492">
        <v>0</v>
      </c>
      <c r="AR40" s="491">
        <f t="shared" si="97"/>
        <v>3.68</v>
      </c>
    </row>
    <row r="41" spans="1:44" s="152" customFormat="1" x14ac:dyDescent="0.2">
      <c r="A41" s="107">
        <v>9</v>
      </c>
      <c r="B41" s="15">
        <v>4439</v>
      </c>
      <c r="C41" s="15">
        <v>600074951</v>
      </c>
      <c r="D41" s="15">
        <v>48283088</v>
      </c>
      <c r="E41" s="116" t="s">
        <v>157</v>
      </c>
      <c r="F41" s="15"/>
      <c r="G41" s="106"/>
      <c r="H41" s="560"/>
      <c r="I41" s="794">
        <f t="shared" ref="I41:AR41" si="98">SUM(I37:I40)</f>
        <v>30835903</v>
      </c>
      <c r="J41" s="343">
        <f t="shared" si="98"/>
        <v>22875299</v>
      </c>
      <c r="K41" s="343">
        <f t="shared" si="98"/>
        <v>7731851</v>
      </c>
      <c r="L41" s="343">
        <f t="shared" si="98"/>
        <v>228753</v>
      </c>
      <c r="M41" s="343">
        <f t="shared" si="98"/>
        <v>0</v>
      </c>
      <c r="N41" s="35">
        <f t="shared" si="98"/>
        <v>35.04</v>
      </c>
      <c r="O41" s="346">
        <f t="shared" si="98"/>
        <v>-12000</v>
      </c>
      <c r="P41" s="343">
        <f t="shared" si="98"/>
        <v>3201509</v>
      </c>
      <c r="Q41" s="343">
        <f t="shared" si="98"/>
        <v>0</v>
      </c>
      <c r="R41" s="343">
        <f t="shared" si="98"/>
        <v>0</v>
      </c>
      <c r="S41" s="343">
        <f t="shared" si="98"/>
        <v>0</v>
      </c>
      <c r="T41" s="343">
        <f t="shared" si="98"/>
        <v>0</v>
      </c>
      <c r="U41" s="343">
        <f t="shared" si="98"/>
        <v>3189509</v>
      </c>
      <c r="V41" s="343">
        <f t="shared" si="98"/>
        <v>12000</v>
      </c>
      <c r="W41" s="343">
        <f t="shared" si="98"/>
        <v>0</v>
      </c>
      <c r="X41" s="343">
        <f t="shared" si="98"/>
        <v>0</v>
      </c>
      <c r="Y41" s="343">
        <f t="shared" si="98"/>
        <v>12000</v>
      </c>
      <c r="Z41" s="343">
        <f t="shared" si="98"/>
        <v>3201509</v>
      </c>
      <c r="AA41" s="343">
        <f t="shared" si="98"/>
        <v>1082110</v>
      </c>
      <c r="AB41" s="343">
        <f t="shared" si="98"/>
        <v>31895</v>
      </c>
      <c r="AC41" s="343">
        <f t="shared" si="98"/>
        <v>0</v>
      </c>
      <c r="AD41" s="799">
        <f t="shared" si="98"/>
        <v>4315514</v>
      </c>
      <c r="AE41" s="803">
        <f t="shared" si="98"/>
        <v>-0.02</v>
      </c>
      <c r="AF41" s="344">
        <f t="shared" si="98"/>
        <v>8.1999999999999993</v>
      </c>
      <c r="AG41" s="344">
        <f t="shared" si="98"/>
        <v>0</v>
      </c>
      <c r="AH41" s="344">
        <f t="shared" si="98"/>
        <v>0</v>
      </c>
      <c r="AI41" s="344">
        <f t="shared" si="98"/>
        <v>0</v>
      </c>
      <c r="AJ41" s="344">
        <f t="shared" si="98"/>
        <v>0</v>
      </c>
      <c r="AK41" s="35">
        <f t="shared" si="98"/>
        <v>8.18</v>
      </c>
      <c r="AL41" s="346">
        <f t="shared" si="98"/>
        <v>35151417</v>
      </c>
      <c r="AM41" s="343">
        <f t="shared" si="98"/>
        <v>26064808</v>
      </c>
      <c r="AN41" s="343">
        <f t="shared" si="98"/>
        <v>12000</v>
      </c>
      <c r="AO41" s="343">
        <f t="shared" si="98"/>
        <v>8813961</v>
      </c>
      <c r="AP41" s="343">
        <f t="shared" si="98"/>
        <v>260648</v>
      </c>
      <c r="AQ41" s="343">
        <f t="shared" si="98"/>
        <v>0</v>
      </c>
      <c r="AR41" s="344">
        <f t="shared" si="98"/>
        <v>43.22</v>
      </c>
    </row>
    <row r="42" spans="1:44" s="152" customFormat="1" x14ac:dyDescent="0.2">
      <c r="A42" s="140">
        <v>10</v>
      </c>
      <c r="B42" s="141">
        <v>4443</v>
      </c>
      <c r="C42" s="141">
        <v>600074994</v>
      </c>
      <c r="D42" s="141">
        <v>46750045</v>
      </c>
      <c r="E42" s="139" t="s">
        <v>158</v>
      </c>
      <c r="F42" s="141">
        <v>3113</v>
      </c>
      <c r="G42" s="117" t="s">
        <v>280</v>
      </c>
      <c r="H42" s="565" t="s">
        <v>262</v>
      </c>
      <c r="I42" s="586">
        <f>SUM(J42:L42)</f>
        <v>55443367</v>
      </c>
      <c r="J42" s="490">
        <v>41130094</v>
      </c>
      <c r="K42" s="55">
        <f t="shared" ref="K42:K46" si="99">ROUND(J42*33.8%,0)</f>
        <v>13901972</v>
      </c>
      <c r="L42" s="55">
        <f t="shared" ref="L42:L46" si="100">ROUND(J42*1%,0)</f>
        <v>411301</v>
      </c>
      <c r="M42" s="55">
        <v>0</v>
      </c>
      <c r="N42" s="631">
        <v>55.64</v>
      </c>
      <c r="O42" s="445">
        <f>V42*-1</f>
        <v>-87000</v>
      </c>
      <c r="P42" s="325">
        <v>0</v>
      </c>
      <c r="Q42" s="325">
        <v>166800</v>
      </c>
      <c r="R42" s="325">
        <v>0</v>
      </c>
      <c r="S42" s="325">
        <v>0</v>
      </c>
      <c r="T42" s="325">
        <v>0</v>
      </c>
      <c r="U42" s="492">
        <f t="shared" ref="U42:U46" si="101">O42+P42+Q42+R42+S42+T42</f>
        <v>79800</v>
      </c>
      <c r="V42" s="325">
        <v>87000</v>
      </c>
      <c r="W42" s="325">
        <v>55600</v>
      </c>
      <c r="X42" s="325">
        <v>0</v>
      </c>
      <c r="Y42" s="492">
        <f t="shared" ref="Y42:Y46" si="102">V42+W42+X42</f>
        <v>142600</v>
      </c>
      <c r="Z42" s="492">
        <f t="shared" ref="Z42:Z46" si="103">U42+Y42</f>
        <v>222400</v>
      </c>
      <c r="AA42" s="494">
        <f t="shared" ref="AA42:AA46" si="104">ROUND((U42+Y42)*33.8%,0)</f>
        <v>75171</v>
      </c>
      <c r="AB42" s="494">
        <f t="shared" ref="AB42:AB46" si="105">ROUND(U42*1%,0)</f>
        <v>798</v>
      </c>
      <c r="AC42" s="492">
        <v>0</v>
      </c>
      <c r="AD42" s="789">
        <f t="shared" ref="AD42:AD46" si="106">Z42+AA42+AB42+AC42</f>
        <v>298369</v>
      </c>
      <c r="AE42" s="715">
        <v>-0.12</v>
      </c>
      <c r="AF42" s="326">
        <v>0</v>
      </c>
      <c r="AG42" s="326">
        <v>0</v>
      </c>
      <c r="AH42" s="326">
        <v>0.23</v>
      </c>
      <c r="AI42" s="326">
        <v>0</v>
      </c>
      <c r="AJ42" s="326">
        <v>0</v>
      </c>
      <c r="AK42" s="626">
        <f t="shared" ref="AK42:AK46" si="107">SUM(AE42:AJ42)</f>
        <v>0.11000000000000001</v>
      </c>
      <c r="AL42" s="493">
        <f>I42+AD42</f>
        <v>55741736</v>
      </c>
      <c r="AM42" s="492">
        <f>J42+U42</f>
        <v>41209894</v>
      </c>
      <c r="AN42" s="492">
        <f t="shared" ref="AN42:AN46" si="108">Y42</f>
        <v>142600</v>
      </c>
      <c r="AO42" s="492">
        <f t="shared" ref="AO42:AP46" si="109">K42+AA42</f>
        <v>13977143</v>
      </c>
      <c r="AP42" s="492">
        <f t="shared" si="109"/>
        <v>412099</v>
      </c>
      <c r="AQ42" s="492">
        <v>0</v>
      </c>
      <c r="AR42" s="491">
        <f t="shared" ref="AR42:AR46" si="110">N42+AK42</f>
        <v>55.75</v>
      </c>
    </row>
    <row r="43" spans="1:44" s="152" customFormat="1" x14ac:dyDescent="0.2">
      <c r="A43" s="140">
        <v>10</v>
      </c>
      <c r="B43" s="141">
        <v>4443</v>
      </c>
      <c r="C43" s="141">
        <v>600074994</v>
      </c>
      <c r="D43" s="141">
        <v>46750045</v>
      </c>
      <c r="E43" s="139" t="s">
        <v>158</v>
      </c>
      <c r="F43" s="141">
        <v>3113</v>
      </c>
      <c r="G43" s="117" t="s">
        <v>799</v>
      </c>
      <c r="H43" s="565" t="s">
        <v>262</v>
      </c>
      <c r="I43" s="586">
        <f>SUM(J43:L43)</f>
        <v>538586</v>
      </c>
      <c r="J43" s="490">
        <v>399545</v>
      </c>
      <c r="K43" s="55">
        <f t="shared" si="99"/>
        <v>135046</v>
      </c>
      <c r="L43" s="55">
        <f t="shared" si="100"/>
        <v>3995</v>
      </c>
      <c r="M43" s="55">
        <v>0</v>
      </c>
      <c r="N43" s="631">
        <v>0.71</v>
      </c>
      <c r="O43" s="445">
        <f>V43*-1</f>
        <v>0</v>
      </c>
      <c r="P43" s="325">
        <v>0</v>
      </c>
      <c r="Q43" s="325">
        <v>0</v>
      </c>
      <c r="R43" s="325">
        <v>0</v>
      </c>
      <c r="S43" s="325">
        <v>0</v>
      </c>
      <c r="T43" s="325">
        <v>0</v>
      </c>
      <c r="U43" s="492">
        <f t="shared" si="101"/>
        <v>0</v>
      </c>
      <c r="V43" s="325">
        <v>0</v>
      </c>
      <c r="W43" s="325">
        <v>0</v>
      </c>
      <c r="X43" s="325">
        <v>0</v>
      </c>
      <c r="Y43" s="492">
        <f t="shared" si="102"/>
        <v>0</v>
      </c>
      <c r="Z43" s="492">
        <f t="shared" si="103"/>
        <v>0</v>
      </c>
      <c r="AA43" s="494">
        <f t="shared" si="104"/>
        <v>0</v>
      </c>
      <c r="AB43" s="494">
        <f t="shared" si="105"/>
        <v>0</v>
      </c>
      <c r="AC43" s="492">
        <v>0</v>
      </c>
      <c r="AD43" s="789">
        <f t="shared" si="106"/>
        <v>0</v>
      </c>
      <c r="AE43" s="715">
        <v>0</v>
      </c>
      <c r="AF43" s="326">
        <v>0</v>
      </c>
      <c r="AG43" s="326">
        <v>0</v>
      </c>
      <c r="AH43" s="326">
        <v>0</v>
      </c>
      <c r="AI43" s="326">
        <v>0</v>
      </c>
      <c r="AJ43" s="326">
        <v>0</v>
      </c>
      <c r="AK43" s="626">
        <f t="shared" si="107"/>
        <v>0</v>
      </c>
      <c r="AL43" s="493">
        <f>I43+AD43</f>
        <v>538586</v>
      </c>
      <c r="AM43" s="492">
        <f>J43+U43</f>
        <v>399545</v>
      </c>
      <c r="AN43" s="492">
        <f t="shared" si="108"/>
        <v>0</v>
      </c>
      <c r="AO43" s="492">
        <f t="shared" si="109"/>
        <v>135046</v>
      </c>
      <c r="AP43" s="492">
        <f t="shared" si="109"/>
        <v>3995</v>
      </c>
      <c r="AQ43" s="492">
        <v>0</v>
      </c>
      <c r="AR43" s="491">
        <f t="shared" si="110"/>
        <v>0.71</v>
      </c>
    </row>
    <row r="44" spans="1:44" s="152" customFormat="1" x14ac:dyDescent="0.2">
      <c r="A44" s="140">
        <v>10</v>
      </c>
      <c r="B44" s="141">
        <v>4443</v>
      </c>
      <c r="C44" s="141">
        <v>600074994</v>
      </c>
      <c r="D44" s="141">
        <v>46750045</v>
      </c>
      <c r="E44" s="139" t="s">
        <v>158</v>
      </c>
      <c r="F44" s="141">
        <v>3113</v>
      </c>
      <c r="G44" s="117" t="s">
        <v>278</v>
      </c>
      <c r="H44" s="565" t="s">
        <v>263</v>
      </c>
      <c r="I44" s="586">
        <f>SUM(J44:L44)</f>
        <v>0</v>
      </c>
      <c r="J44" s="490">
        <v>0</v>
      </c>
      <c r="K44" s="55">
        <f t="shared" si="99"/>
        <v>0</v>
      </c>
      <c r="L44" s="55">
        <f t="shared" si="100"/>
        <v>0</v>
      </c>
      <c r="M44" s="55">
        <v>0</v>
      </c>
      <c r="N44" s="631">
        <v>0</v>
      </c>
      <c r="O44" s="440">
        <f>V44*-1</f>
        <v>0</v>
      </c>
      <c r="P44" s="325">
        <f>7116954-181889</f>
        <v>6935065</v>
      </c>
      <c r="Q44" s="325">
        <v>0</v>
      </c>
      <c r="R44" s="325">
        <v>0</v>
      </c>
      <c r="S44" s="325">
        <v>0</v>
      </c>
      <c r="T44" s="325">
        <v>0</v>
      </c>
      <c r="U44" s="492">
        <f t="shared" si="101"/>
        <v>6935065</v>
      </c>
      <c r="V44" s="325">
        <v>0</v>
      </c>
      <c r="W44" s="325">
        <v>0</v>
      </c>
      <c r="X44" s="325">
        <v>0</v>
      </c>
      <c r="Y44" s="492">
        <f t="shared" si="102"/>
        <v>0</v>
      </c>
      <c r="Z44" s="492">
        <f t="shared" si="103"/>
        <v>6935065</v>
      </c>
      <c r="AA44" s="494">
        <f t="shared" si="104"/>
        <v>2344052</v>
      </c>
      <c r="AB44" s="494">
        <f t="shared" si="105"/>
        <v>69351</v>
      </c>
      <c r="AC44" s="492">
        <v>0</v>
      </c>
      <c r="AD44" s="789">
        <f t="shared" si="106"/>
        <v>9348468</v>
      </c>
      <c r="AE44" s="715">
        <v>0</v>
      </c>
      <c r="AF44" s="326">
        <f>17.87-0.46</f>
        <v>17.41</v>
      </c>
      <c r="AG44" s="326">
        <v>0</v>
      </c>
      <c r="AH44" s="326">
        <v>0</v>
      </c>
      <c r="AI44" s="326">
        <v>0</v>
      </c>
      <c r="AJ44" s="326">
        <v>0</v>
      </c>
      <c r="AK44" s="626">
        <f t="shared" si="107"/>
        <v>17.41</v>
      </c>
      <c r="AL44" s="493">
        <f>I44+AD44</f>
        <v>9348468</v>
      </c>
      <c r="AM44" s="492">
        <f>J44+U44</f>
        <v>6935065</v>
      </c>
      <c r="AN44" s="492">
        <f t="shared" si="108"/>
        <v>0</v>
      </c>
      <c r="AO44" s="492">
        <f t="shared" si="109"/>
        <v>2344052</v>
      </c>
      <c r="AP44" s="492">
        <f t="shared" si="109"/>
        <v>69351</v>
      </c>
      <c r="AQ44" s="492">
        <v>0</v>
      </c>
      <c r="AR44" s="491">
        <f t="shared" si="110"/>
        <v>17.41</v>
      </c>
    </row>
    <row r="45" spans="1:44" s="152" customFormat="1" x14ac:dyDescent="0.2">
      <c r="A45" s="140">
        <v>10</v>
      </c>
      <c r="B45" s="141">
        <v>4443</v>
      </c>
      <c r="C45" s="141">
        <v>600074994</v>
      </c>
      <c r="D45" s="141">
        <v>46750045</v>
      </c>
      <c r="E45" s="139" t="s">
        <v>158</v>
      </c>
      <c r="F45" s="141">
        <v>3143</v>
      </c>
      <c r="G45" s="117" t="s">
        <v>794</v>
      </c>
      <c r="H45" s="157" t="s">
        <v>262</v>
      </c>
      <c r="I45" s="586">
        <f>SUM(J45:L45)</f>
        <v>5342740</v>
      </c>
      <c r="J45" s="490">
        <v>3963457</v>
      </c>
      <c r="K45" s="55">
        <f t="shared" si="99"/>
        <v>1339648</v>
      </c>
      <c r="L45" s="55">
        <f t="shared" si="100"/>
        <v>39635</v>
      </c>
      <c r="M45" s="55">
        <v>0</v>
      </c>
      <c r="N45" s="631">
        <v>7.21</v>
      </c>
      <c r="O45" s="440">
        <f>V45*-1</f>
        <v>-3000</v>
      </c>
      <c r="P45" s="325">
        <v>0</v>
      </c>
      <c r="Q45" s="325">
        <v>0</v>
      </c>
      <c r="R45" s="325">
        <v>0</v>
      </c>
      <c r="S45" s="325">
        <v>0</v>
      </c>
      <c r="T45" s="325">
        <v>0</v>
      </c>
      <c r="U45" s="492">
        <f t="shared" si="101"/>
        <v>-3000</v>
      </c>
      <c r="V45" s="325">
        <v>3000</v>
      </c>
      <c r="W45" s="325">
        <v>0</v>
      </c>
      <c r="X45" s="325">
        <v>0</v>
      </c>
      <c r="Y45" s="492">
        <f t="shared" si="102"/>
        <v>3000</v>
      </c>
      <c r="Z45" s="492">
        <f t="shared" si="103"/>
        <v>0</v>
      </c>
      <c r="AA45" s="494">
        <f t="shared" si="104"/>
        <v>0</v>
      </c>
      <c r="AB45" s="494">
        <f t="shared" si="105"/>
        <v>-30</v>
      </c>
      <c r="AC45" s="492">
        <v>0</v>
      </c>
      <c r="AD45" s="789">
        <f t="shared" si="106"/>
        <v>-30</v>
      </c>
      <c r="AE45" s="715">
        <v>0</v>
      </c>
      <c r="AF45" s="326">
        <v>0</v>
      </c>
      <c r="AG45" s="326">
        <v>0</v>
      </c>
      <c r="AH45" s="326">
        <v>0</v>
      </c>
      <c r="AI45" s="326">
        <v>0</v>
      </c>
      <c r="AJ45" s="326">
        <v>0</v>
      </c>
      <c r="AK45" s="626">
        <f t="shared" si="107"/>
        <v>0</v>
      </c>
      <c r="AL45" s="493">
        <f>I45+AD45</f>
        <v>5342710</v>
      </c>
      <c r="AM45" s="492">
        <f>J45+U45</f>
        <v>3960457</v>
      </c>
      <c r="AN45" s="492">
        <f t="shared" si="108"/>
        <v>3000</v>
      </c>
      <c r="AO45" s="492">
        <f t="shared" si="109"/>
        <v>1339648</v>
      </c>
      <c r="AP45" s="492">
        <f t="shared" si="109"/>
        <v>39605</v>
      </c>
      <c r="AQ45" s="492">
        <v>0</v>
      </c>
      <c r="AR45" s="491">
        <f t="shared" si="110"/>
        <v>7.21</v>
      </c>
    </row>
    <row r="46" spans="1:44" s="152" customFormat="1" x14ac:dyDescent="0.2">
      <c r="A46" s="140">
        <v>10</v>
      </c>
      <c r="B46" s="141">
        <v>4443</v>
      </c>
      <c r="C46" s="141">
        <v>600074994</v>
      </c>
      <c r="D46" s="141">
        <v>46750045</v>
      </c>
      <c r="E46" s="139" t="s">
        <v>158</v>
      </c>
      <c r="F46" s="141">
        <v>3143</v>
      </c>
      <c r="G46" s="117" t="s">
        <v>282</v>
      </c>
      <c r="H46" s="157" t="s">
        <v>263</v>
      </c>
      <c r="I46" s="586">
        <f>SUM(J46:L46)</f>
        <v>362226</v>
      </c>
      <c r="J46" s="490">
        <v>268714</v>
      </c>
      <c r="K46" s="55">
        <f t="shared" si="99"/>
        <v>90825</v>
      </c>
      <c r="L46" s="55">
        <f t="shared" si="100"/>
        <v>2687</v>
      </c>
      <c r="M46" s="55">
        <v>0</v>
      </c>
      <c r="N46" s="631">
        <v>0.5</v>
      </c>
      <c r="O46" s="440">
        <f>V46*-1</f>
        <v>0</v>
      </c>
      <c r="P46" s="325">
        <v>0</v>
      </c>
      <c r="Q46" s="325">
        <v>0</v>
      </c>
      <c r="R46" s="325">
        <v>0</v>
      </c>
      <c r="S46" s="325">
        <v>0</v>
      </c>
      <c r="T46" s="325">
        <v>0</v>
      </c>
      <c r="U46" s="492">
        <f t="shared" si="101"/>
        <v>0</v>
      </c>
      <c r="V46" s="325">
        <v>0</v>
      </c>
      <c r="W46" s="325">
        <v>0</v>
      </c>
      <c r="X46" s="325">
        <v>0</v>
      </c>
      <c r="Y46" s="492">
        <f t="shared" si="102"/>
        <v>0</v>
      </c>
      <c r="Z46" s="492">
        <f t="shared" si="103"/>
        <v>0</v>
      </c>
      <c r="AA46" s="494">
        <f t="shared" si="104"/>
        <v>0</v>
      </c>
      <c r="AB46" s="494">
        <f t="shared" si="105"/>
        <v>0</v>
      </c>
      <c r="AC46" s="492">
        <v>0</v>
      </c>
      <c r="AD46" s="789">
        <f t="shared" si="106"/>
        <v>0</v>
      </c>
      <c r="AE46" s="715">
        <v>0</v>
      </c>
      <c r="AF46" s="326">
        <v>0</v>
      </c>
      <c r="AG46" s="326">
        <v>0</v>
      </c>
      <c r="AH46" s="326">
        <v>0</v>
      </c>
      <c r="AI46" s="326">
        <v>0</v>
      </c>
      <c r="AJ46" s="326">
        <v>0</v>
      </c>
      <c r="AK46" s="626">
        <f t="shared" si="107"/>
        <v>0</v>
      </c>
      <c r="AL46" s="493">
        <f>I46+AD46</f>
        <v>362226</v>
      </c>
      <c r="AM46" s="492">
        <f>J46+U46</f>
        <v>268714</v>
      </c>
      <c r="AN46" s="492">
        <f t="shared" si="108"/>
        <v>0</v>
      </c>
      <c r="AO46" s="492">
        <f t="shared" si="109"/>
        <v>90825</v>
      </c>
      <c r="AP46" s="492">
        <f t="shared" si="109"/>
        <v>2687</v>
      </c>
      <c r="AQ46" s="492">
        <v>0</v>
      </c>
      <c r="AR46" s="491">
        <f t="shared" si="110"/>
        <v>0.5</v>
      </c>
    </row>
    <row r="47" spans="1:44" s="152" customFormat="1" x14ac:dyDescent="0.2">
      <c r="A47" s="107">
        <v>10</v>
      </c>
      <c r="B47" s="15">
        <v>4443</v>
      </c>
      <c r="C47" s="15">
        <v>600074994</v>
      </c>
      <c r="D47" s="15">
        <v>46750045</v>
      </c>
      <c r="E47" s="116" t="s">
        <v>159</v>
      </c>
      <c r="F47" s="15"/>
      <c r="G47" s="106"/>
      <c r="H47" s="560"/>
      <c r="I47" s="794">
        <f t="shared" ref="I47:AR47" si="111">SUM(I42:I46)</f>
        <v>61686919</v>
      </c>
      <c r="J47" s="343">
        <f t="shared" si="111"/>
        <v>45761810</v>
      </c>
      <c r="K47" s="343">
        <f t="shared" si="111"/>
        <v>15467491</v>
      </c>
      <c r="L47" s="343">
        <f t="shared" si="111"/>
        <v>457618</v>
      </c>
      <c r="M47" s="343">
        <f t="shared" si="111"/>
        <v>0</v>
      </c>
      <c r="N47" s="35">
        <f t="shared" si="111"/>
        <v>64.06</v>
      </c>
      <c r="O47" s="346">
        <f t="shared" si="111"/>
        <v>-90000</v>
      </c>
      <c r="P47" s="343">
        <f t="shared" si="111"/>
        <v>6935065</v>
      </c>
      <c r="Q47" s="343">
        <f t="shared" si="111"/>
        <v>166800</v>
      </c>
      <c r="R47" s="343">
        <f t="shared" si="111"/>
        <v>0</v>
      </c>
      <c r="S47" s="343">
        <f t="shared" si="111"/>
        <v>0</v>
      </c>
      <c r="T47" s="343">
        <f t="shared" si="111"/>
        <v>0</v>
      </c>
      <c r="U47" s="343">
        <f t="shared" si="111"/>
        <v>7011865</v>
      </c>
      <c r="V47" s="343">
        <f t="shared" si="111"/>
        <v>90000</v>
      </c>
      <c r="W47" s="343">
        <f t="shared" si="111"/>
        <v>55600</v>
      </c>
      <c r="X47" s="343">
        <f t="shared" si="111"/>
        <v>0</v>
      </c>
      <c r="Y47" s="343">
        <f t="shared" si="111"/>
        <v>145600</v>
      </c>
      <c r="Z47" s="343">
        <f t="shared" si="111"/>
        <v>7157465</v>
      </c>
      <c r="AA47" s="343">
        <f t="shared" si="111"/>
        <v>2419223</v>
      </c>
      <c r="AB47" s="343">
        <f t="shared" si="111"/>
        <v>70119</v>
      </c>
      <c r="AC47" s="343">
        <f t="shared" si="111"/>
        <v>0</v>
      </c>
      <c r="AD47" s="799">
        <f t="shared" si="111"/>
        <v>9646807</v>
      </c>
      <c r="AE47" s="803">
        <f t="shared" si="111"/>
        <v>-0.12</v>
      </c>
      <c r="AF47" s="344">
        <f t="shared" si="111"/>
        <v>17.41</v>
      </c>
      <c r="AG47" s="344">
        <f t="shared" si="111"/>
        <v>0</v>
      </c>
      <c r="AH47" s="344">
        <f t="shared" si="111"/>
        <v>0.23</v>
      </c>
      <c r="AI47" s="344">
        <f t="shared" si="111"/>
        <v>0</v>
      </c>
      <c r="AJ47" s="344">
        <f t="shared" si="111"/>
        <v>0</v>
      </c>
      <c r="AK47" s="35">
        <f t="shared" si="111"/>
        <v>17.52</v>
      </c>
      <c r="AL47" s="346">
        <f t="shared" si="111"/>
        <v>71333726</v>
      </c>
      <c r="AM47" s="343">
        <f t="shared" si="111"/>
        <v>52773675</v>
      </c>
      <c r="AN47" s="343">
        <f t="shared" si="111"/>
        <v>145600</v>
      </c>
      <c r="AO47" s="343">
        <f t="shared" si="111"/>
        <v>17886714</v>
      </c>
      <c r="AP47" s="343">
        <f t="shared" si="111"/>
        <v>527737</v>
      </c>
      <c r="AQ47" s="343">
        <f t="shared" si="111"/>
        <v>0</v>
      </c>
      <c r="AR47" s="344">
        <f t="shared" si="111"/>
        <v>81.58</v>
      </c>
    </row>
    <row r="48" spans="1:44" s="152" customFormat="1" x14ac:dyDescent="0.2">
      <c r="A48" s="140">
        <v>11</v>
      </c>
      <c r="B48" s="141">
        <v>4438</v>
      </c>
      <c r="C48" s="141">
        <v>600074871</v>
      </c>
      <c r="D48" s="141">
        <v>49864599</v>
      </c>
      <c r="E48" s="139" t="s">
        <v>160</v>
      </c>
      <c r="F48" s="141">
        <v>3113</v>
      </c>
      <c r="G48" s="117" t="s">
        <v>280</v>
      </c>
      <c r="H48" s="565" t="s">
        <v>262</v>
      </c>
      <c r="I48" s="586">
        <f>SUM(J48:L48)</f>
        <v>38817194</v>
      </c>
      <c r="J48" s="490">
        <v>28796138</v>
      </c>
      <c r="K48" s="55">
        <f t="shared" ref="K48:K52" si="112">ROUND(J48*33.8%,0)</f>
        <v>9733095</v>
      </c>
      <c r="L48" s="55">
        <f t="shared" ref="L48:L52" si="113">ROUND(J48*1%,0)</f>
        <v>287961</v>
      </c>
      <c r="M48" s="55">
        <v>0</v>
      </c>
      <c r="N48" s="631">
        <v>39.409999999999997</v>
      </c>
      <c r="O48" s="445">
        <f t="shared" ref="O48:O52" si="114">V48*-1</f>
        <v>-71760</v>
      </c>
      <c r="P48" s="325">
        <v>0</v>
      </c>
      <c r="Q48" s="325">
        <v>208500</v>
      </c>
      <c r="R48" s="325">
        <v>0</v>
      </c>
      <c r="S48" s="325">
        <v>0</v>
      </c>
      <c r="T48" s="325">
        <v>0</v>
      </c>
      <c r="U48" s="492">
        <f t="shared" ref="U48:U52" si="115">O48+P48+Q48+R48+S48+T48</f>
        <v>136740</v>
      </c>
      <c r="V48" s="325">
        <v>71760</v>
      </c>
      <c r="W48" s="325">
        <v>83400</v>
      </c>
      <c r="X48" s="325">
        <v>0</v>
      </c>
      <c r="Y48" s="492">
        <f t="shared" ref="Y48:Y52" si="116">V48+W48+X48</f>
        <v>155160</v>
      </c>
      <c r="Z48" s="492">
        <f t="shared" ref="Z48:Z52" si="117">U48+Y48</f>
        <v>291900</v>
      </c>
      <c r="AA48" s="494">
        <f t="shared" ref="AA48:AA52" si="118">ROUND((U48+Y48)*33.8%,0)</f>
        <v>98662</v>
      </c>
      <c r="AB48" s="494">
        <f t="shared" ref="AB48:AB52" si="119">ROUND(U48*1%,0)</f>
        <v>1367</v>
      </c>
      <c r="AC48" s="492">
        <v>0</v>
      </c>
      <c r="AD48" s="789">
        <f t="shared" ref="AD48:AD52" si="120">Z48+AA48+AB48+AC48</f>
        <v>391929</v>
      </c>
      <c r="AE48" s="715">
        <v>-0.1</v>
      </c>
      <c r="AF48" s="326">
        <v>0</v>
      </c>
      <c r="AG48" s="326">
        <v>0</v>
      </c>
      <c r="AH48" s="326">
        <v>0.28000000000000003</v>
      </c>
      <c r="AI48" s="326">
        <v>0</v>
      </c>
      <c r="AJ48" s="326">
        <v>0</v>
      </c>
      <c r="AK48" s="626">
        <f t="shared" ref="AK48:AK52" si="121">SUM(AE48:AJ48)</f>
        <v>0.18000000000000002</v>
      </c>
      <c r="AL48" s="493">
        <f>I48+AD48</f>
        <v>39209123</v>
      </c>
      <c r="AM48" s="492">
        <f>J48+U48</f>
        <v>28932878</v>
      </c>
      <c r="AN48" s="492">
        <f t="shared" ref="AN48:AN52" si="122">Y48</f>
        <v>155160</v>
      </c>
      <c r="AO48" s="492">
        <f t="shared" ref="AO48:AP52" si="123">K48+AA48</f>
        <v>9831757</v>
      </c>
      <c r="AP48" s="492">
        <f t="shared" si="123"/>
        <v>289328</v>
      </c>
      <c r="AQ48" s="492">
        <v>0</v>
      </c>
      <c r="AR48" s="491">
        <f t="shared" ref="AR48:AR52" si="124">N48+AK48</f>
        <v>39.589999999999996</v>
      </c>
    </row>
    <row r="49" spans="1:44" s="152" customFormat="1" x14ac:dyDescent="0.2">
      <c r="A49" s="140">
        <v>11</v>
      </c>
      <c r="B49" s="141">
        <v>4438</v>
      </c>
      <c r="C49" s="141">
        <v>600074871</v>
      </c>
      <c r="D49" s="141">
        <v>49864599</v>
      </c>
      <c r="E49" s="139" t="s">
        <v>160</v>
      </c>
      <c r="F49" s="141">
        <v>3113</v>
      </c>
      <c r="G49" s="117" t="s">
        <v>799</v>
      </c>
      <c r="H49" s="565" t="s">
        <v>262</v>
      </c>
      <c r="I49" s="586">
        <f>SUM(J49:L49)</f>
        <v>698560</v>
      </c>
      <c r="J49" s="490">
        <v>518220</v>
      </c>
      <c r="K49" s="55">
        <f t="shared" si="112"/>
        <v>175158</v>
      </c>
      <c r="L49" s="55">
        <f t="shared" si="113"/>
        <v>5182</v>
      </c>
      <c r="M49" s="55">
        <v>0</v>
      </c>
      <c r="N49" s="631">
        <v>1</v>
      </c>
      <c r="O49" s="445">
        <f t="shared" si="114"/>
        <v>0</v>
      </c>
      <c r="P49" s="325">
        <v>0</v>
      </c>
      <c r="Q49" s="325">
        <v>0</v>
      </c>
      <c r="R49" s="325">
        <v>0</v>
      </c>
      <c r="S49" s="325">
        <v>0</v>
      </c>
      <c r="T49" s="325">
        <v>0</v>
      </c>
      <c r="U49" s="492">
        <f t="shared" si="115"/>
        <v>0</v>
      </c>
      <c r="V49" s="325">
        <v>0</v>
      </c>
      <c r="W49" s="325">
        <v>0</v>
      </c>
      <c r="X49" s="325">
        <v>0</v>
      </c>
      <c r="Y49" s="492">
        <f t="shared" si="116"/>
        <v>0</v>
      </c>
      <c r="Z49" s="492">
        <f t="shared" si="117"/>
        <v>0</v>
      </c>
      <c r="AA49" s="494">
        <f t="shared" si="118"/>
        <v>0</v>
      </c>
      <c r="AB49" s="494">
        <f t="shared" si="119"/>
        <v>0</v>
      </c>
      <c r="AC49" s="492">
        <v>0</v>
      </c>
      <c r="AD49" s="789">
        <f t="shared" si="120"/>
        <v>0</v>
      </c>
      <c r="AE49" s="715">
        <v>0</v>
      </c>
      <c r="AF49" s="326">
        <v>0</v>
      </c>
      <c r="AG49" s="326">
        <v>0</v>
      </c>
      <c r="AH49" s="326">
        <v>0</v>
      </c>
      <c r="AI49" s="326">
        <v>0</v>
      </c>
      <c r="AJ49" s="326">
        <v>0</v>
      </c>
      <c r="AK49" s="626">
        <f t="shared" si="121"/>
        <v>0</v>
      </c>
      <c r="AL49" s="493">
        <f>I49+AD49</f>
        <v>698560</v>
      </c>
      <c r="AM49" s="492">
        <f>J49+U49</f>
        <v>518220</v>
      </c>
      <c r="AN49" s="492">
        <f t="shared" si="122"/>
        <v>0</v>
      </c>
      <c r="AO49" s="492">
        <f t="shared" si="123"/>
        <v>175158</v>
      </c>
      <c r="AP49" s="492">
        <f t="shared" si="123"/>
        <v>5182</v>
      </c>
      <c r="AQ49" s="492">
        <v>0</v>
      </c>
      <c r="AR49" s="491">
        <f t="shared" si="124"/>
        <v>1</v>
      </c>
    </row>
    <row r="50" spans="1:44" s="152" customFormat="1" x14ac:dyDescent="0.2">
      <c r="A50" s="140">
        <v>11</v>
      </c>
      <c r="B50" s="141">
        <v>4438</v>
      </c>
      <c r="C50" s="141">
        <v>600074871</v>
      </c>
      <c r="D50" s="141">
        <v>49864599</v>
      </c>
      <c r="E50" s="139" t="s">
        <v>160</v>
      </c>
      <c r="F50" s="141">
        <v>3113</v>
      </c>
      <c r="G50" s="117" t="s">
        <v>278</v>
      </c>
      <c r="H50" s="565" t="s">
        <v>263</v>
      </c>
      <c r="I50" s="586">
        <f>SUM(J50:L50)</f>
        <v>0</v>
      </c>
      <c r="J50" s="490">
        <v>0</v>
      </c>
      <c r="K50" s="55">
        <f t="shared" si="112"/>
        <v>0</v>
      </c>
      <c r="L50" s="55">
        <f t="shared" si="113"/>
        <v>0</v>
      </c>
      <c r="M50" s="55">
        <v>0</v>
      </c>
      <c r="N50" s="631">
        <v>0</v>
      </c>
      <c r="O50" s="440">
        <f t="shared" si="114"/>
        <v>0</v>
      </c>
      <c r="P50" s="325">
        <f>6108922</f>
        <v>6108922</v>
      </c>
      <c r="Q50" s="325">
        <v>0</v>
      </c>
      <c r="R50" s="325">
        <v>0</v>
      </c>
      <c r="S50" s="325">
        <v>0</v>
      </c>
      <c r="T50" s="325">
        <v>0</v>
      </c>
      <c r="U50" s="492">
        <f t="shared" si="115"/>
        <v>6108922</v>
      </c>
      <c r="V50" s="325">
        <v>0</v>
      </c>
      <c r="W50" s="325">
        <v>0</v>
      </c>
      <c r="X50" s="325">
        <v>0</v>
      </c>
      <c r="Y50" s="492">
        <f t="shared" si="116"/>
        <v>0</v>
      </c>
      <c r="Z50" s="492">
        <f t="shared" si="117"/>
        <v>6108922</v>
      </c>
      <c r="AA50" s="494">
        <f t="shared" si="118"/>
        <v>2064816</v>
      </c>
      <c r="AB50" s="494">
        <f t="shared" si="119"/>
        <v>61089</v>
      </c>
      <c r="AC50" s="492">
        <v>0</v>
      </c>
      <c r="AD50" s="789">
        <f t="shared" si="120"/>
        <v>8234827</v>
      </c>
      <c r="AE50" s="715">
        <v>0</v>
      </c>
      <c r="AF50" s="326">
        <f>15.65</f>
        <v>15.65</v>
      </c>
      <c r="AG50" s="326">
        <v>0</v>
      </c>
      <c r="AH50" s="326">
        <v>0</v>
      </c>
      <c r="AI50" s="326">
        <v>0</v>
      </c>
      <c r="AJ50" s="326">
        <v>0</v>
      </c>
      <c r="AK50" s="626">
        <f t="shared" si="121"/>
        <v>15.65</v>
      </c>
      <c r="AL50" s="493">
        <f>I50+AD50</f>
        <v>8234827</v>
      </c>
      <c r="AM50" s="492">
        <f>J50+U50</f>
        <v>6108922</v>
      </c>
      <c r="AN50" s="492">
        <f t="shared" si="122"/>
        <v>0</v>
      </c>
      <c r="AO50" s="492">
        <f t="shared" si="123"/>
        <v>2064816</v>
      </c>
      <c r="AP50" s="492">
        <f t="shared" si="123"/>
        <v>61089</v>
      </c>
      <c r="AQ50" s="492">
        <v>0</v>
      </c>
      <c r="AR50" s="491">
        <f t="shared" si="124"/>
        <v>15.65</v>
      </c>
    </row>
    <row r="51" spans="1:44" s="152" customFormat="1" x14ac:dyDescent="0.2">
      <c r="A51" s="140">
        <v>11</v>
      </c>
      <c r="B51" s="141">
        <v>4438</v>
      </c>
      <c r="C51" s="141">
        <v>600074871</v>
      </c>
      <c r="D51" s="141">
        <v>49864599</v>
      </c>
      <c r="E51" s="139" t="s">
        <v>160</v>
      </c>
      <c r="F51" s="141">
        <v>3143</v>
      </c>
      <c r="G51" s="117" t="s">
        <v>794</v>
      </c>
      <c r="H51" s="157" t="s">
        <v>262</v>
      </c>
      <c r="I51" s="586">
        <f>SUM(J51:L51)</f>
        <v>4291039</v>
      </c>
      <c r="J51" s="490">
        <v>3183263</v>
      </c>
      <c r="K51" s="55">
        <f t="shared" si="112"/>
        <v>1075943</v>
      </c>
      <c r="L51" s="55">
        <f t="shared" si="113"/>
        <v>31833</v>
      </c>
      <c r="M51" s="55">
        <v>0</v>
      </c>
      <c r="N51" s="631">
        <v>6.26</v>
      </c>
      <c r="O51" s="440">
        <f t="shared" si="114"/>
        <v>0</v>
      </c>
      <c r="P51" s="325">
        <v>0</v>
      </c>
      <c r="Q51" s="325">
        <v>0</v>
      </c>
      <c r="R51" s="325">
        <v>0</v>
      </c>
      <c r="S51" s="325">
        <v>0</v>
      </c>
      <c r="T51" s="325">
        <v>0</v>
      </c>
      <c r="U51" s="492">
        <f t="shared" si="115"/>
        <v>0</v>
      </c>
      <c r="V51" s="325">
        <v>0</v>
      </c>
      <c r="W51" s="325">
        <v>0</v>
      </c>
      <c r="X51" s="325">
        <v>0</v>
      </c>
      <c r="Y51" s="492">
        <f t="shared" si="116"/>
        <v>0</v>
      </c>
      <c r="Z51" s="492">
        <f t="shared" si="117"/>
        <v>0</v>
      </c>
      <c r="AA51" s="494">
        <f t="shared" si="118"/>
        <v>0</v>
      </c>
      <c r="AB51" s="494">
        <f t="shared" si="119"/>
        <v>0</v>
      </c>
      <c r="AC51" s="492">
        <v>0</v>
      </c>
      <c r="AD51" s="789">
        <f t="shared" si="120"/>
        <v>0</v>
      </c>
      <c r="AE51" s="715">
        <v>0</v>
      </c>
      <c r="AF51" s="326">
        <v>0</v>
      </c>
      <c r="AG51" s="326">
        <v>0</v>
      </c>
      <c r="AH51" s="326">
        <v>0</v>
      </c>
      <c r="AI51" s="326">
        <v>0</v>
      </c>
      <c r="AJ51" s="326">
        <v>0</v>
      </c>
      <c r="AK51" s="626">
        <f t="shared" si="121"/>
        <v>0</v>
      </c>
      <c r="AL51" s="493">
        <f>I51+AD51</f>
        <v>4291039</v>
      </c>
      <c r="AM51" s="492">
        <f>J51+U51</f>
        <v>3183263</v>
      </c>
      <c r="AN51" s="492">
        <f t="shared" si="122"/>
        <v>0</v>
      </c>
      <c r="AO51" s="492">
        <f t="shared" si="123"/>
        <v>1075943</v>
      </c>
      <c r="AP51" s="492">
        <f t="shared" si="123"/>
        <v>31833</v>
      </c>
      <c r="AQ51" s="492">
        <v>0</v>
      </c>
      <c r="AR51" s="491">
        <f t="shared" si="124"/>
        <v>6.26</v>
      </c>
    </row>
    <row r="52" spans="1:44" s="152" customFormat="1" x14ac:dyDescent="0.2">
      <c r="A52" s="140">
        <v>11</v>
      </c>
      <c r="B52" s="141">
        <v>4438</v>
      </c>
      <c r="C52" s="141">
        <v>600074871</v>
      </c>
      <c r="D52" s="141">
        <v>49864599</v>
      </c>
      <c r="E52" s="139" t="s">
        <v>160</v>
      </c>
      <c r="F52" s="141">
        <v>3143</v>
      </c>
      <c r="G52" s="117" t="s">
        <v>282</v>
      </c>
      <c r="H52" s="157" t="s">
        <v>263</v>
      </c>
      <c r="I52" s="586">
        <f>SUM(J52:L52)</f>
        <v>436388</v>
      </c>
      <c r="J52" s="490">
        <v>323730</v>
      </c>
      <c r="K52" s="55">
        <f t="shared" si="112"/>
        <v>109421</v>
      </c>
      <c r="L52" s="55">
        <f t="shared" si="113"/>
        <v>3237</v>
      </c>
      <c r="M52" s="55">
        <v>0</v>
      </c>
      <c r="N52" s="631">
        <v>0.6</v>
      </c>
      <c r="O52" s="440">
        <f t="shared" si="114"/>
        <v>0</v>
      </c>
      <c r="P52" s="325">
        <v>0</v>
      </c>
      <c r="Q52" s="325">
        <v>0</v>
      </c>
      <c r="R52" s="325">
        <v>0</v>
      </c>
      <c r="S52" s="325">
        <v>0</v>
      </c>
      <c r="T52" s="325">
        <v>0</v>
      </c>
      <c r="U52" s="492">
        <f t="shared" si="115"/>
        <v>0</v>
      </c>
      <c r="V52" s="325">
        <v>0</v>
      </c>
      <c r="W52" s="325">
        <v>0</v>
      </c>
      <c r="X52" s="325">
        <v>0</v>
      </c>
      <c r="Y52" s="492">
        <f t="shared" si="116"/>
        <v>0</v>
      </c>
      <c r="Z52" s="492">
        <f t="shared" si="117"/>
        <v>0</v>
      </c>
      <c r="AA52" s="494">
        <f t="shared" si="118"/>
        <v>0</v>
      </c>
      <c r="AB52" s="494">
        <f t="shared" si="119"/>
        <v>0</v>
      </c>
      <c r="AC52" s="492">
        <v>0</v>
      </c>
      <c r="AD52" s="789">
        <f t="shared" si="120"/>
        <v>0</v>
      </c>
      <c r="AE52" s="715">
        <v>0</v>
      </c>
      <c r="AF52" s="326">
        <v>0</v>
      </c>
      <c r="AG52" s="326">
        <v>0</v>
      </c>
      <c r="AH52" s="326">
        <v>0</v>
      </c>
      <c r="AI52" s="326">
        <v>0</v>
      </c>
      <c r="AJ52" s="326">
        <v>0</v>
      </c>
      <c r="AK52" s="626">
        <f t="shared" si="121"/>
        <v>0</v>
      </c>
      <c r="AL52" s="493">
        <f>I52+AD52</f>
        <v>436388</v>
      </c>
      <c r="AM52" s="492">
        <f>J52+U52</f>
        <v>323730</v>
      </c>
      <c r="AN52" s="492">
        <f t="shared" si="122"/>
        <v>0</v>
      </c>
      <c r="AO52" s="492">
        <f t="shared" si="123"/>
        <v>109421</v>
      </c>
      <c r="AP52" s="492">
        <f t="shared" si="123"/>
        <v>3237</v>
      </c>
      <c r="AQ52" s="492">
        <v>0</v>
      </c>
      <c r="AR52" s="491">
        <f t="shared" si="124"/>
        <v>0.6</v>
      </c>
    </row>
    <row r="53" spans="1:44" s="152" customFormat="1" x14ac:dyDescent="0.2">
      <c r="A53" s="107">
        <v>11</v>
      </c>
      <c r="B53" s="15">
        <v>4438</v>
      </c>
      <c r="C53" s="15">
        <v>600074871</v>
      </c>
      <c r="D53" s="15">
        <v>49864599</v>
      </c>
      <c r="E53" s="116" t="s">
        <v>161</v>
      </c>
      <c r="F53" s="15"/>
      <c r="G53" s="106"/>
      <c r="H53" s="560"/>
      <c r="I53" s="794">
        <f t="shared" ref="I53:AR53" si="125">SUM(I48:I52)</f>
        <v>44243181</v>
      </c>
      <c r="J53" s="343">
        <f t="shared" si="125"/>
        <v>32821351</v>
      </c>
      <c r="K53" s="343">
        <f t="shared" si="125"/>
        <v>11093617</v>
      </c>
      <c r="L53" s="343">
        <f t="shared" si="125"/>
        <v>328213</v>
      </c>
      <c r="M53" s="343">
        <f t="shared" si="125"/>
        <v>0</v>
      </c>
      <c r="N53" s="35">
        <f t="shared" si="125"/>
        <v>47.269999999999996</v>
      </c>
      <c r="O53" s="346">
        <f t="shared" si="125"/>
        <v>-71760</v>
      </c>
      <c r="P53" s="343">
        <f t="shared" si="125"/>
        <v>6108922</v>
      </c>
      <c r="Q53" s="343">
        <f t="shared" si="125"/>
        <v>208500</v>
      </c>
      <c r="R53" s="343">
        <f t="shared" si="125"/>
        <v>0</v>
      </c>
      <c r="S53" s="343">
        <f t="shared" si="125"/>
        <v>0</v>
      </c>
      <c r="T53" s="343">
        <f t="shared" si="125"/>
        <v>0</v>
      </c>
      <c r="U53" s="343">
        <f t="shared" si="125"/>
        <v>6245662</v>
      </c>
      <c r="V53" s="343">
        <f t="shared" si="125"/>
        <v>71760</v>
      </c>
      <c r="W53" s="343">
        <f t="shared" si="125"/>
        <v>83400</v>
      </c>
      <c r="X53" s="343">
        <f t="shared" si="125"/>
        <v>0</v>
      </c>
      <c r="Y53" s="343">
        <f t="shared" si="125"/>
        <v>155160</v>
      </c>
      <c r="Z53" s="343">
        <f t="shared" si="125"/>
        <v>6400822</v>
      </c>
      <c r="AA53" s="343">
        <f t="shared" si="125"/>
        <v>2163478</v>
      </c>
      <c r="AB53" s="343">
        <f t="shared" si="125"/>
        <v>62456</v>
      </c>
      <c r="AC53" s="343">
        <f t="shared" si="125"/>
        <v>0</v>
      </c>
      <c r="AD53" s="799">
        <f t="shared" si="125"/>
        <v>8626756</v>
      </c>
      <c r="AE53" s="803">
        <f t="shared" si="125"/>
        <v>-0.1</v>
      </c>
      <c r="AF53" s="344">
        <f t="shared" si="125"/>
        <v>15.65</v>
      </c>
      <c r="AG53" s="344">
        <f t="shared" si="125"/>
        <v>0</v>
      </c>
      <c r="AH53" s="344">
        <f t="shared" si="125"/>
        <v>0.28000000000000003</v>
      </c>
      <c r="AI53" s="344">
        <f t="shared" si="125"/>
        <v>0</v>
      </c>
      <c r="AJ53" s="344">
        <f t="shared" si="125"/>
        <v>0</v>
      </c>
      <c r="AK53" s="35">
        <f t="shared" si="125"/>
        <v>15.83</v>
      </c>
      <c r="AL53" s="346">
        <f t="shared" si="125"/>
        <v>52869937</v>
      </c>
      <c r="AM53" s="343">
        <f t="shared" si="125"/>
        <v>39067013</v>
      </c>
      <c r="AN53" s="343">
        <f t="shared" si="125"/>
        <v>155160</v>
      </c>
      <c r="AO53" s="343">
        <f t="shared" si="125"/>
        <v>13257095</v>
      </c>
      <c r="AP53" s="343">
        <f t="shared" si="125"/>
        <v>390669</v>
      </c>
      <c r="AQ53" s="343">
        <f t="shared" si="125"/>
        <v>0</v>
      </c>
      <c r="AR53" s="344">
        <f t="shared" si="125"/>
        <v>63.099999999999994</v>
      </c>
    </row>
    <row r="54" spans="1:44" s="152" customFormat="1" x14ac:dyDescent="0.2">
      <c r="A54" s="140">
        <v>12</v>
      </c>
      <c r="B54" s="141">
        <v>4455</v>
      </c>
      <c r="C54" s="141">
        <v>600074889</v>
      </c>
      <c r="D54" s="141">
        <v>49864611</v>
      </c>
      <c r="E54" s="139" t="s">
        <v>162</v>
      </c>
      <c r="F54" s="141">
        <v>3113</v>
      </c>
      <c r="G54" s="117" t="s">
        <v>280</v>
      </c>
      <c r="H54" s="565" t="s">
        <v>262</v>
      </c>
      <c r="I54" s="586">
        <f>SUM(J54:L54)</f>
        <v>39139796</v>
      </c>
      <c r="J54" s="490">
        <v>29035457</v>
      </c>
      <c r="K54" s="55">
        <f>ROUND(J54*33.8%,0)+1</f>
        <v>9813985</v>
      </c>
      <c r="L54" s="55">
        <f>ROUND(J54*1%,0)-1</f>
        <v>290354</v>
      </c>
      <c r="M54" s="55">
        <v>0</v>
      </c>
      <c r="N54" s="631">
        <v>38.36</v>
      </c>
      <c r="O54" s="445">
        <f>V54*-1</f>
        <v>-18000</v>
      </c>
      <c r="P54" s="325">
        <v>0</v>
      </c>
      <c r="Q54" s="325">
        <v>205720</v>
      </c>
      <c r="R54" s="325">
        <v>0</v>
      </c>
      <c r="S54" s="325">
        <v>0</v>
      </c>
      <c r="T54" s="325">
        <v>0</v>
      </c>
      <c r="U54" s="492">
        <f t="shared" ref="U54:U57" si="126">O54+P54+Q54+R54+S54+T54</f>
        <v>187720</v>
      </c>
      <c r="V54" s="325">
        <v>18000</v>
      </c>
      <c r="W54" s="325">
        <v>0</v>
      </c>
      <c r="X54" s="325">
        <v>0</v>
      </c>
      <c r="Y54" s="492">
        <f t="shared" ref="Y54:Y57" si="127">V54+W54+X54</f>
        <v>18000</v>
      </c>
      <c r="Z54" s="492">
        <f t="shared" ref="Z54:Z57" si="128">U54+Y54</f>
        <v>205720</v>
      </c>
      <c r="AA54" s="494">
        <f t="shared" ref="AA54:AA57" si="129">ROUND((U54+Y54)*33.8%,0)</f>
        <v>69533</v>
      </c>
      <c r="AB54" s="494">
        <f t="shared" ref="AB54:AB57" si="130">ROUND(U54*1%,0)</f>
        <v>1877</v>
      </c>
      <c r="AC54" s="492">
        <v>0</v>
      </c>
      <c r="AD54" s="789">
        <f t="shared" ref="AD54:AD57" si="131">Z54+AA54+AB54+AC54</f>
        <v>277130</v>
      </c>
      <c r="AE54" s="715">
        <v>-0.03</v>
      </c>
      <c r="AF54" s="326">
        <v>0</v>
      </c>
      <c r="AG54" s="326">
        <v>0</v>
      </c>
      <c r="AH54" s="326">
        <v>0.28000000000000003</v>
      </c>
      <c r="AI54" s="326">
        <v>0</v>
      </c>
      <c r="AJ54" s="326">
        <v>0</v>
      </c>
      <c r="AK54" s="626">
        <f t="shared" ref="AK54:AK57" si="132">SUM(AE54:AJ54)</f>
        <v>0.25</v>
      </c>
      <c r="AL54" s="493">
        <f>I54+AD54</f>
        <v>39416926</v>
      </c>
      <c r="AM54" s="492">
        <f>J54+U54</f>
        <v>29223177</v>
      </c>
      <c r="AN54" s="492">
        <f t="shared" ref="AN54:AN57" si="133">Y54</f>
        <v>18000</v>
      </c>
      <c r="AO54" s="492">
        <f t="shared" ref="AO54:AP57" si="134">K54+AA54</f>
        <v>9883518</v>
      </c>
      <c r="AP54" s="492">
        <f t="shared" si="134"/>
        <v>292231</v>
      </c>
      <c r="AQ54" s="492">
        <v>0</v>
      </c>
      <c r="AR54" s="491">
        <f t="shared" ref="AR54:AR57" si="135">N54+AK54</f>
        <v>38.61</v>
      </c>
    </row>
    <row r="55" spans="1:44" s="152" customFormat="1" x14ac:dyDescent="0.2">
      <c r="A55" s="140">
        <v>12</v>
      </c>
      <c r="B55" s="141">
        <v>4455</v>
      </c>
      <c r="C55" s="141">
        <v>600074889</v>
      </c>
      <c r="D55" s="141">
        <v>49864611</v>
      </c>
      <c r="E55" s="139" t="s">
        <v>162</v>
      </c>
      <c r="F55" s="141">
        <v>3113</v>
      </c>
      <c r="G55" s="117" t="s">
        <v>799</v>
      </c>
      <c r="H55" s="565" t="s">
        <v>262</v>
      </c>
      <c r="I55" s="586">
        <f>SUM(J55:L55)</f>
        <v>0</v>
      </c>
      <c r="J55" s="490">
        <v>0</v>
      </c>
      <c r="K55" s="55">
        <v>0</v>
      </c>
      <c r="L55" s="55">
        <v>0</v>
      </c>
      <c r="M55" s="55">
        <v>0</v>
      </c>
      <c r="N55" s="631">
        <v>0</v>
      </c>
      <c r="O55" s="445">
        <f>V55*-1</f>
        <v>0</v>
      </c>
      <c r="P55" s="325">
        <v>0</v>
      </c>
      <c r="Q55" s="325">
        <v>0</v>
      </c>
      <c r="R55" s="325">
        <v>550836</v>
      </c>
      <c r="S55" s="325">
        <v>0</v>
      </c>
      <c r="T55" s="325">
        <v>0</v>
      </c>
      <c r="U55" s="492">
        <f t="shared" si="126"/>
        <v>550836</v>
      </c>
      <c r="V55" s="325">
        <v>0</v>
      </c>
      <c r="W55" s="325">
        <v>0</v>
      </c>
      <c r="X55" s="325">
        <v>0</v>
      </c>
      <c r="Y55" s="492">
        <f t="shared" si="127"/>
        <v>0</v>
      </c>
      <c r="Z55" s="492">
        <f t="shared" si="128"/>
        <v>550836</v>
      </c>
      <c r="AA55" s="494">
        <f t="shared" si="129"/>
        <v>186183</v>
      </c>
      <c r="AB55" s="494">
        <f t="shared" si="130"/>
        <v>5508</v>
      </c>
      <c r="AC55" s="492">
        <v>0</v>
      </c>
      <c r="AD55" s="789">
        <f t="shared" si="131"/>
        <v>742527</v>
      </c>
      <c r="AE55" s="715">
        <v>0</v>
      </c>
      <c r="AF55" s="326">
        <v>0</v>
      </c>
      <c r="AG55" s="326">
        <v>1</v>
      </c>
      <c r="AH55" s="326">
        <v>0</v>
      </c>
      <c r="AI55" s="326">
        <v>0</v>
      </c>
      <c r="AJ55" s="326">
        <v>0</v>
      </c>
      <c r="AK55" s="626">
        <f t="shared" si="132"/>
        <v>1</v>
      </c>
      <c r="AL55" s="493">
        <f>I55+AD55</f>
        <v>742527</v>
      </c>
      <c r="AM55" s="492">
        <f>J55+U55</f>
        <v>550836</v>
      </c>
      <c r="AN55" s="492">
        <f t="shared" si="133"/>
        <v>0</v>
      </c>
      <c r="AO55" s="492">
        <f t="shared" si="134"/>
        <v>186183</v>
      </c>
      <c r="AP55" s="492">
        <f t="shared" si="134"/>
        <v>5508</v>
      </c>
      <c r="AQ55" s="492">
        <v>0</v>
      </c>
      <c r="AR55" s="491">
        <f t="shared" si="135"/>
        <v>1</v>
      </c>
    </row>
    <row r="56" spans="1:44" s="152" customFormat="1" x14ac:dyDescent="0.2">
      <c r="A56" s="140">
        <v>12</v>
      </c>
      <c r="B56" s="141">
        <v>4455</v>
      </c>
      <c r="C56" s="141">
        <v>600074889</v>
      </c>
      <c r="D56" s="141">
        <v>49864611</v>
      </c>
      <c r="E56" s="139" t="s">
        <v>162</v>
      </c>
      <c r="F56" s="141">
        <v>3113</v>
      </c>
      <c r="G56" s="117" t="s">
        <v>278</v>
      </c>
      <c r="H56" s="565" t="s">
        <v>263</v>
      </c>
      <c r="I56" s="586">
        <f>SUM(J56:L56)</f>
        <v>0</v>
      </c>
      <c r="J56" s="490">
        <v>0</v>
      </c>
      <c r="K56" s="55">
        <f t="shared" ref="K56:K57" si="136">ROUND(J56*33.8%,0)</f>
        <v>0</v>
      </c>
      <c r="L56" s="55">
        <f t="shared" ref="L56:L57" si="137">ROUND(J56*1%,0)</f>
        <v>0</v>
      </c>
      <c r="M56" s="55">
        <v>0</v>
      </c>
      <c r="N56" s="631">
        <v>0</v>
      </c>
      <c r="O56" s="440">
        <f>V56*-1</f>
        <v>0</v>
      </c>
      <c r="P56" s="325">
        <f>2149606-143303</f>
        <v>2006303</v>
      </c>
      <c r="Q56" s="325">
        <v>0</v>
      </c>
      <c r="R56" s="325">
        <v>0</v>
      </c>
      <c r="S56" s="325">
        <v>0</v>
      </c>
      <c r="T56" s="325">
        <v>0</v>
      </c>
      <c r="U56" s="492">
        <f t="shared" si="126"/>
        <v>2006303</v>
      </c>
      <c r="V56" s="325">
        <v>0</v>
      </c>
      <c r="W56" s="325">
        <v>0</v>
      </c>
      <c r="X56" s="325">
        <v>0</v>
      </c>
      <c r="Y56" s="492">
        <f t="shared" si="127"/>
        <v>0</v>
      </c>
      <c r="Z56" s="492">
        <f t="shared" si="128"/>
        <v>2006303</v>
      </c>
      <c r="AA56" s="494">
        <f t="shared" si="129"/>
        <v>678130</v>
      </c>
      <c r="AB56" s="494">
        <f t="shared" si="130"/>
        <v>20063</v>
      </c>
      <c r="AC56" s="492">
        <v>0</v>
      </c>
      <c r="AD56" s="789">
        <f t="shared" si="131"/>
        <v>2704496</v>
      </c>
      <c r="AE56" s="715">
        <v>0</v>
      </c>
      <c r="AF56" s="326">
        <f>5.42-0.36</f>
        <v>5.0599999999999996</v>
      </c>
      <c r="AG56" s="326">
        <v>0</v>
      </c>
      <c r="AH56" s="326">
        <v>0</v>
      </c>
      <c r="AI56" s="326">
        <v>0</v>
      </c>
      <c r="AJ56" s="326">
        <v>0</v>
      </c>
      <c r="AK56" s="626">
        <f t="shared" si="132"/>
        <v>5.0599999999999996</v>
      </c>
      <c r="AL56" s="493">
        <f>I56+AD56</f>
        <v>2704496</v>
      </c>
      <c r="AM56" s="492">
        <f>J56+U56</f>
        <v>2006303</v>
      </c>
      <c r="AN56" s="492">
        <f t="shared" si="133"/>
        <v>0</v>
      </c>
      <c r="AO56" s="492">
        <f t="shared" si="134"/>
        <v>678130</v>
      </c>
      <c r="AP56" s="492">
        <f t="shared" si="134"/>
        <v>20063</v>
      </c>
      <c r="AQ56" s="492">
        <v>0</v>
      </c>
      <c r="AR56" s="491">
        <f t="shared" si="135"/>
        <v>5.0599999999999996</v>
      </c>
    </row>
    <row r="57" spans="1:44" s="152" customFormat="1" x14ac:dyDescent="0.2">
      <c r="A57" s="140">
        <v>12</v>
      </c>
      <c r="B57" s="141">
        <v>4455</v>
      </c>
      <c r="C57" s="141">
        <v>600074889</v>
      </c>
      <c r="D57" s="141">
        <v>49864611</v>
      </c>
      <c r="E57" s="139" t="s">
        <v>162</v>
      </c>
      <c r="F57" s="141">
        <v>3143</v>
      </c>
      <c r="G57" s="117" t="s">
        <v>795</v>
      </c>
      <c r="H57" s="157" t="s">
        <v>262</v>
      </c>
      <c r="I57" s="586">
        <f>SUM(J57:L57)</f>
        <v>4169441</v>
      </c>
      <c r="J57" s="490">
        <v>3093057</v>
      </c>
      <c r="K57" s="55">
        <f t="shared" si="136"/>
        <v>1045453</v>
      </c>
      <c r="L57" s="55">
        <f t="shared" si="137"/>
        <v>30931</v>
      </c>
      <c r="M57" s="55">
        <v>0</v>
      </c>
      <c r="N57" s="631">
        <v>5.64</v>
      </c>
      <c r="O57" s="440">
        <f>V57*-1</f>
        <v>-6000</v>
      </c>
      <c r="P57" s="325">
        <v>0</v>
      </c>
      <c r="Q57" s="325">
        <v>0</v>
      </c>
      <c r="R57" s="325">
        <v>0</v>
      </c>
      <c r="S57" s="325">
        <v>0</v>
      </c>
      <c r="T57" s="325">
        <v>0</v>
      </c>
      <c r="U57" s="492">
        <f t="shared" si="126"/>
        <v>-6000</v>
      </c>
      <c r="V57" s="325">
        <v>6000</v>
      </c>
      <c r="W57" s="325">
        <v>0</v>
      </c>
      <c r="X57" s="325">
        <v>0</v>
      </c>
      <c r="Y57" s="492">
        <f t="shared" si="127"/>
        <v>6000</v>
      </c>
      <c r="Z57" s="492">
        <f t="shared" si="128"/>
        <v>0</v>
      </c>
      <c r="AA57" s="494">
        <f t="shared" si="129"/>
        <v>0</v>
      </c>
      <c r="AB57" s="494">
        <f t="shared" si="130"/>
        <v>-60</v>
      </c>
      <c r="AC57" s="492">
        <v>0</v>
      </c>
      <c r="AD57" s="789">
        <f t="shared" si="131"/>
        <v>-60</v>
      </c>
      <c r="AE57" s="715">
        <v>0</v>
      </c>
      <c r="AF57" s="326">
        <v>0</v>
      </c>
      <c r="AG57" s="326">
        <v>0</v>
      </c>
      <c r="AH57" s="326">
        <v>0</v>
      </c>
      <c r="AI57" s="326">
        <v>0</v>
      </c>
      <c r="AJ57" s="326">
        <v>0</v>
      </c>
      <c r="AK57" s="626">
        <f t="shared" si="132"/>
        <v>0</v>
      </c>
      <c r="AL57" s="493">
        <f>I57+AD57</f>
        <v>4169381</v>
      </c>
      <c r="AM57" s="492">
        <f>J57+U57</f>
        <v>3087057</v>
      </c>
      <c r="AN57" s="492">
        <f t="shared" si="133"/>
        <v>6000</v>
      </c>
      <c r="AO57" s="492">
        <f t="shared" si="134"/>
        <v>1045453</v>
      </c>
      <c r="AP57" s="492">
        <f t="shared" si="134"/>
        <v>30871</v>
      </c>
      <c r="AQ57" s="492">
        <v>0</v>
      </c>
      <c r="AR57" s="491">
        <f t="shared" si="135"/>
        <v>5.64</v>
      </c>
    </row>
    <row r="58" spans="1:44" s="152" customFormat="1" x14ac:dyDescent="0.2">
      <c r="A58" s="107">
        <v>12</v>
      </c>
      <c r="B58" s="15">
        <v>4455</v>
      </c>
      <c r="C58" s="15">
        <v>600074889</v>
      </c>
      <c r="D58" s="15">
        <v>49864611</v>
      </c>
      <c r="E58" s="116" t="s">
        <v>163</v>
      </c>
      <c r="F58" s="15"/>
      <c r="G58" s="106"/>
      <c r="H58" s="560"/>
      <c r="I58" s="794">
        <f t="shared" ref="I58:AR58" si="138">SUM(I54:I57)</f>
        <v>43309237</v>
      </c>
      <c r="J58" s="343">
        <f t="shared" si="138"/>
        <v>32128514</v>
      </c>
      <c r="K58" s="343">
        <f t="shared" si="138"/>
        <v>10859438</v>
      </c>
      <c r="L58" s="343">
        <f t="shared" si="138"/>
        <v>321285</v>
      </c>
      <c r="M58" s="343">
        <f t="shared" si="138"/>
        <v>0</v>
      </c>
      <c r="N58" s="35">
        <f t="shared" si="138"/>
        <v>44</v>
      </c>
      <c r="O58" s="346">
        <f t="shared" si="138"/>
        <v>-24000</v>
      </c>
      <c r="P58" s="343">
        <f t="shared" si="138"/>
        <v>2006303</v>
      </c>
      <c r="Q58" s="343">
        <f t="shared" si="138"/>
        <v>205720</v>
      </c>
      <c r="R58" s="343">
        <f t="shared" si="138"/>
        <v>550836</v>
      </c>
      <c r="S58" s="343">
        <f t="shared" si="138"/>
        <v>0</v>
      </c>
      <c r="T58" s="343">
        <f t="shared" si="138"/>
        <v>0</v>
      </c>
      <c r="U58" s="343">
        <f t="shared" si="138"/>
        <v>2738859</v>
      </c>
      <c r="V58" s="343">
        <f t="shared" si="138"/>
        <v>24000</v>
      </c>
      <c r="W58" s="343">
        <f t="shared" si="138"/>
        <v>0</v>
      </c>
      <c r="X58" s="343">
        <f t="shared" si="138"/>
        <v>0</v>
      </c>
      <c r="Y58" s="343">
        <f t="shared" si="138"/>
        <v>24000</v>
      </c>
      <c r="Z58" s="343">
        <f t="shared" si="138"/>
        <v>2762859</v>
      </c>
      <c r="AA58" s="343">
        <f t="shared" si="138"/>
        <v>933846</v>
      </c>
      <c r="AB58" s="343">
        <f t="shared" si="138"/>
        <v>27388</v>
      </c>
      <c r="AC58" s="343">
        <f t="shared" si="138"/>
        <v>0</v>
      </c>
      <c r="AD58" s="799">
        <f t="shared" si="138"/>
        <v>3724093</v>
      </c>
      <c r="AE58" s="803">
        <f t="shared" si="138"/>
        <v>-0.03</v>
      </c>
      <c r="AF58" s="344">
        <f t="shared" si="138"/>
        <v>5.0599999999999996</v>
      </c>
      <c r="AG58" s="344">
        <f t="shared" si="138"/>
        <v>1</v>
      </c>
      <c r="AH58" s="344">
        <f t="shared" si="138"/>
        <v>0.28000000000000003</v>
      </c>
      <c r="AI58" s="344">
        <f t="shared" si="138"/>
        <v>0</v>
      </c>
      <c r="AJ58" s="344">
        <f t="shared" si="138"/>
        <v>0</v>
      </c>
      <c r="AK58" s="35">
        <f t="shared" si="138"/>
        <v>6.31</v>
      </c>
      <c r="AL58" s="346">
        <f t="shared" si="138"/>
        <v>47033330</v>
      </c>
      <c r="AM58" s="343">
        <f t="shared" si="138"/>
        <v>34867373</v>
      </c>
      <c r="AN58" s="343">
        <f t="shared" si="138"/>
        <v>24000</v>
      </c>
      <c r="AO58" s="343">
        <f t="shared" si="138"/>
        <v>11793284</v>
      </c>
      <c r="AP58" s="343">
        <f t="shared" si="138"/>
        <v>348673</v>
      </c>
      <c r="AQ58" s="343">
        <f t="shared" si="138"/>
        <v>0</v>
      </c>
      <c r="AR58" s="344">
        <f t="shared" si="138"/>
        <v>50.31</v>
      </c>
    </row>
    <row r="59" spans="1:44" s="152" customFormat="1" x14ac:dyDescent="0.2">
      <c r="A59" s="140">
        <v>13</v>
      </c>
      <c r="B59" s="141">
        <v>4440</v>
      </c>
      <c r="C59" s="141">
        <v>600074897</v>
      </c>
      <c r="D59" s="141">
        <v>48283029</v>
      </c>
      <c r="E59" s="139" t="s">
        <v>164</v>
      </c>
      <c r="F59" s="141">
        <v>3113</v>
      </c>
      <c r="G59" s="117" t="s">
        <v>280</v>
      </c>
      <c r="H59" s="565" t="s">
        <v>262</v>
      </c>
      <c r="I59" s="586">
        <f>SUM(J59:L59)</f>
        <v>26098549</v>
      </c>
      <c r="J59" s="490">
        <v>19360942</v>
      </c>
      <c r="K59" s="55">
        <f t="shared" ref="K59:K62" si="139">ROUND(J59*33.8%,0)</f>
        <v>6543998</v>
      </c>
      <c r="L59" s="55">
        <f t="shared" ref="L59:L62" si="140">ROUND(J59*1%,0)</f>
        <v>193609</v>
      </c>
      <c r="M59" s="55">
        <v>0</v>
      </c>
      <c r="N59" s="631">
        <v>26.37</v>
      </c>
      <c r="O59" s="445">
        <f>V59*-1</f>
        <v>-72000</v>
      </c>
      <c r="P59" s="325">
        <v>0</v>
      </c>
      <c r="Q59" s="325">
        <v>0</v>
      </c>
      <c r="R59" s="325">
        <v>0</v>
      </c>
      <c r="S59" s="325">
        <v>0</v>
      </c>
      <c r="T59" s="325">
        <v>0</v>
      </c>
      <c r="U59" s="492">
        <f t="shared" ref="U59:U62" si="141">O59+P59+Q59+R59+S59+T59</f>
        <v>-72000</v>
      </c>
      <c r="V59" s="325">
        <v>72000</v>
      </c>
      <c r="W59" s="325">
        <v>0</v>
      </c>
      <c r="X59" s="325">
        <v>0</v>
      </c>
      <c r="Y59" s="492">
        <f t="shared" ref="Y59:Y62" si="142">V59+W59+X59</f>
        <v>72000</v>
      </c>
      <c r="Z59" s="492">
        <f t="shared" ref="Z59:Z62" si="143">U59+Y59</f>
        <v>0</v>
      </c>
      <c r="AA59" s="494">
        <f t="shared" ref="AA59:AA62" si="144">ROUND((U59+Y59)*33.8%,0)</f>
        <v>0</v>
      </c>
      <c r="AB59" s="494">
        <f t="shared" ref="AB59:AB62" si="145">ROUND(U59*1%,0)</f>
        <v>-720</v>
      </c>
      <c r="AC59" s="492">
        <v>0</v>
      </c>
      <c r="AD59" s="789">
        <f t="shared" ref="AD59:AD62" si="146">Z59+AA59+AB59+AC59</f>
        <v>-720</v>
      </c>
      <c r="AE59" s="715">
        <v>-0.08</v>
      </c>
      <c r="AF59" s="326">
        <v>0</v>
      </c>
      <c r="AG59" s="326">
        <v>0</v>
      </c>
      <c r="AH59" s="326">
        <v>0</v>
      </c>
      <c r="AI59" s="326">
        <v>0</v>
      </c>
      <c r="AJ59" s="326">
        <v>0</v>
      </c>
      <c r="AK59" s="626">
        <f t="shared" ref="AK59:AK62" si="147">SUM(AE59:AJ59)</f>
        <v>-0.08</v>
      </c>
      <c r="AL59" s="493">
        <f>I59+AD59</f>
        <v>26097829</v>
      </c>
      <c r="AM59" s="492">
        <f>J59+U59</f>
        <v>19288942</v>
      </c>
      <c r="AN59" s="492">
        <f t="shared" ref="AN59:AN62" si="148">Y59</f>
        <v>72000</v>
      </c>
      <c r="AO59" s="492">
        <f t="shared" ref="AO59:AP62" si="149">K59+AA59</f>
        <v>6543998</v>
      </c>
      <c r="AP59" s="492">
        <f t="shared" si="149"/>
        <v>192889</v>
      </c>
      <c r="AQ59" s="492">
        <v>0</v>
      </c>
      <c r="AR59" s="491">
        <f t="shared" ref="AR59:AR62" si="150">N59+AK59</f>
        <v>26.290000000000003</v>
      </c>
    </row>
    <row r="60" spans="1:44" s="152" customFormat="1" x14ac:dyDescent="0.2">
      <c r="A60" s="140">
        <v>13</v>
      </c>
      <c r="B60" s="141">
        <v>4440</v>
      </c>
      <c r="C60" s="141">
        <v>600074897</v>
      </c>
      <c r="D60" s="141">
        <v>48283029</v>
      </c>
      <c r="E60" s="139" t="s">
        <v>164</v>
      </c>
      <c r="F60" s="141">
        <v>3113</v>
      </c>
      <c r="G60" s="117" t="s">
        <v>799</v>
      </c>
      <c r="H60" s="565" t="s">
        <v>262</v>
      </c>
      <c r="I60" s="586">
        <f>SUM(J60:L60)</f>
        <v>667406</v>
      </c>
      <c r="J60" s="490">
        <v>495108</v>
      </c>
      <c r="K60" s="55">
        <f t="shared" si="139"/>
        <v>167347</v>
      </c>
      <c r="L60" s="55">
        <f t="shared" si="140"/>
        <v>4951</v>
      </c>
      <c r="M60" s="55">
        <v>0</v>
      </c>
      <c r="N60" s="631">
        <v>1</v>
      </c>
      <c r="O60" s="445">
        <f>V60*-1</f>
        <v>0</v>
      </c>
      <c r="P60" s="325">
        <v>0</v>
      </c>
      <c r="Q60" s="325">
        <v>0</v>
      </c>
      <c r="R60" s="325">
        <v>0</v>
      </c>
      <c r="S60" s="325">
        <v>0</v>
      </c>
      <c r="T60" s="325">
        <v>0</v>
      </c>
      <c r="U60" s="492">
        <f t="shared" si="141"/>
        <v>0</v>
      </c>
      <c r="V60" s="325">
        <v>0</v>
      </c>
      <c r="W60" s="325">
        <v>0</v>
      </c>
      <c r="X60" s="325">
        <v>0</v>
      </c>
      <c r="Y60" s="492">
        <f t="shared" si="142"/>
        <v>0</v>
      </c>
      <c r="Z60" s="492">
        <f t="shared" si="143"/>
        <v>0</v>
      </c>
      <c r="AA60" s="494">
        <f t="shared" si="144"/>
        <v>0</v>
      </c>
      <c r="AB60" s="494">
        <f t="shared" si="145"/>
        <v>0</v>
      </c>
      <c r="AC60" s="492">
        <v>0</v>
      </c>
      <c r="AD60" s="789">
        <f t="shared" si="146"/>
        <v>0</v>
      </c>
      <c r="AE60" s="715">
        <v>0</v>
      </c>
      <c r="AF60" s="326">
        <v>0</v>
      </c>
      <c r="AG60" s="326">
        <v>0</v>
      </c>
      <c r="AH60" s="326">
        <v>0</v>
      </c>
      <c r="AI60" s="326">
        <v>0</v>
      </c>
      <c r="AJ60" s="326">
        <v>0</v>
      </c>
      <c r="AK60" s="626">
        <f t="shared" si="147"/>
        <v>0</v>
      </c>
      <c r="AL60" s="493">
        <f>I60+AD60</f>
        <v>667406</v>
      </c>
      <c r="AM60" s="492">
        <f>J60+U60</f>
        <v>495108</v>
      </c>
      <c r="AN60" s="492">
        <f t="shared" si="148"/>
        <v>0</v>
      </c>
      <c r="AO60" s="492">
        <f t="shared" si="149"/>
        <v>167347</v>
      </c>
      <c r="AP60" s="492">
        <f t="shared" si="149"/>
        <v>4951</v>
      </c>
      <c r="AQ60" s="492">
        <v>0</v>
      </c>
      <c r="AR60" s="491">
        <f t="shared" si="150"/>
        <v>1</v>
      </c>
    </row>
    <row r="61" spans="1:44" s="152" customFormat="1" x14ac:dyDescent="0.2">
      <c r="A61" s="140">
        <v>13</v>
      </c>
      <c r="B61" s="141">
        <v>4440</v>
      </c>
      <c r="C61" s="141">
        <v>600074897</v>
      </c>
      <c r="D61" s="141">
        <v>48283029</v>
      </c>
      <c r="E61" s="139" t="s">
        <v>164</v>
      </c>
      <c r="F61" s="141">
        <v>3113</v>
      </c>
      <c r="G61" s="117" t="s">
        <v>278</v>
      </c>
      <c r="H61" s="565" t="s">
        <v>263</v>
      </c>
      <c r="I61" s="586">
        <f>SUM(J61:L61)</f>
        <v>0</v>
      </c>
      <c r="J61" s="490">
        <v>0</v>
      </c>
      <c r="K61" s="55">
        <f t="shared" si="139"/>
        <v>0</v>
      </c>
      <c r="L61" s="55">
        <f t="shared" si="140"/>
        <v>0</v>
      </c>
      <c r="M61" s="55">
        <v>0</v>
      </c>
      <c r="N61" s="631">
        <v>0</v>
      </c>
      <c r="O61" s="440">
        <f>V61*-1</f>
        <v>0</v>
      </c>
      <c r="P61" s="325">
        <f>2471589</f>
        <v>2471589</v>
      </c>
      <c r="Q61" s="325">
        <v>0</v>
      </c>
      <c r="R61" s="325">
        <v>0</v>
      </c>
      <c r="S61" s="325">
        <v>0</v>
      </c>
      <c r="T61" s="325">
        <v>0</v>
      </c>
      <c r="U61" s="492">
        <f t="shared" si="141"/>
        <v>2471589</v>
      </c>
      <c r="V61" s="325">
        <v>0</v>
      </c>
      <c r="W61" s="325">
        <v>0</v>
      </c>
      <c r="X61" s="325">
        <v>0</v>
      </c>
      <c r="Y61" s="492">
        <f t="shared" si="142"/>
        <v>0</v>
      </c>
      <c r="Z61" s="492">
        <f t="shared" si="143"/>
        <v>2471589</v>
      </c>
      <c r="AA61" s="494">
        <f t="shared" si="144"/>
        <v>835397</v>
      </c>
      <c r="AB61" s="494">
        <f t="shared" si="145"/>
        <v>24716</v>
      </c>
      <c r="AC61" s="492">
        <v>0</v>
      </c>
      <c r="AD61" s="789">
        <f t="shared" si="146"/>
        <v>3331702</v>
      </c>
      <c r="AE61" s="715">
        <v>0</v>
      </c>
      <c r="AF61" s="326">
        <f>6.18</f>
        <v>6.18</v>
      </c>
      <c r="AG61" s="326">
        <v>0</v>
      </c>
      <c r="AH61" s="326">
        <v>0</v>
      </c>
      <c r="AI61" s="326">
        <v>0</v>
      </c>
      <c r="AJ61" s="326">
        <v>0</v>
      </c>
      <c r="AK61" s="626">
        <f t="shared" si="147"/>
        <v>6.18</v>
      </c>
      <c r="AL61" s="493">
        <f>I61+AD61</f>
        <v>3331702</v>
      </c>
      <c r="AM61" s="492">
        <f>J61+U61</f>
        <v>2471589</v>
      </c>
      <c r="AN61" s="492">
        <f t="shared" si="148"/>
        <v>0</v>
      </c>
      <c r="AO61" s="492">
        <f t="shared" si="149"/>
        <v>835397</v>
      </c>
      <c r="AP61" s="492">
        <f t="shared" si="149"/>
        <v>24716</v>
      </c>
      <c r="AQ61" s="492">
        <v>0</v>
      </c>
      <c r="AR61" s="491">
        <f t="shared" si="150"/>
        <v>6.18</v>
      </c>
    </row>
    <row r="62" spans="1:44" s="152" customFormat="1" x14ac:dyDescent="0.2">
      <c r="A62" s="140">
        <v>13</v>
      </c>
      <c r="B62" s="141">
        <v>4440</v>
      </c>
      <c r="C62" s="141">
        <v>600074897</v>
      </c>
      <c r="D62" s="141">
        <v>48283029</v>
      </c>
      <c r="E62" s="139" t="s">
        <v>164</v>
      </c>
      <c r="F62" s="141">
        <v>3143</v>
      </c>
      <c r="G62" s="117" t="s">
        <v>794</v>
      </c>
      <c r="H62" s="157" t="s">
        <v>262</v>
      </c>
      <c r="I62" s="586">
        <f>SUM(J62:L62)</f>
        <v>2840714</v>
      </c>
      <c r="J62" s="490">
        <v>2107354</v>
      </c>
      <c r="K62" s="55">
        <f t="shared" si="139"/>
        <v>712286</v>
      </c>
      <c r="L62" s="55">
        <f t="shared" si="140"/>
        <v>21074</v>
      </c>
      <c r="M62" s="55">
        <v>0</v>
      </c>
      <c r="N62" s="631">
        <v>4.1399999999999997</v>
      </c>
      <c r="O62" s="440">
        <f>V62*-1</f>
        <v>-18000</v>
      </c>
      <c r="P62" s="325">
        <v>0</v>
      </c>
      <c r="Q62" s="325">
        <v>0</v>
      </c>
      <c r="R62" s="325">
        <v>0</v>
      </c>
      <c r="S62" s="325">
        <v>0</v>
      </c>
      <c r="T62" s="325">
        <v>0</v>
      </c>
      <c r="U62" s="492">
        <f t="shared" si="141"/>
        <v>-18000</v>
      </c>
      <c r="V62" s="325">
        <v>18000</v>
      </c>
      <c r="W62" s="325">
        <v>0</v>
      </c>
      <c r="X62" s="325">
        <v>0</v>
      </c>
      <c r="Y62" s="492">
        <f t="shared" si="142"/>
        <v>18000</v>
      </c>
      <c r="Z62" s="492">
        <f t="shared" si="143"/>
        <v>0</v>
      </c>
      <c r="AA62" s="494">
        <f t="shared" si="144"/>
        <v>0</v>
      </c>
      <c r="AB62" s="494">
        <f t="shared" si="145"/>
        <v>-180</v>
      </c>
      <c r="AC62" s="492">
        <v>0</v>
      </c>
      <c r="AD62" s="789">
        <f t="shared" si="146"/>
        <v>-180</v>
      </c>
      <c r="AE62" s="715">
        <v>-0.02</v>
      </c>
      <c r="AF62" s="326">
        <v>0</v>
      </c>
      <c r="AG62" s="326">
        <v>0</v>
      </c>
      <c r="AH62" s="326">
        <v>0</v>
      </c>
      <c r="AI62" s="326">
        <v>0</v>
      </c>
      <c r="AJ62" s="326">
        <v>0</v>
      </c>
      <c r="AK62" s="626">
        <f t="shared" si="147"/>
        <v>-0.02</v>
      </c>
      <c r="AL62" s="493">
        <f>I62+AD62</f>
        <v>2840534</v>
      </c>
      <c r="AM62" s="492">
        <f>J62+U62</f>
        <v>2089354</v>
      </c>
      <c r="AN62" s="492">
        <f t="shared" si="148"/>
        <v>18000</v>
      </c>
      <c r="AO62" s="492">
        <f t="shared" si="149"/>
        <v>712286</v>
      </c>
      <c r="AP62" s="492">
        <f t="shared" si="149"/>
        <v>20894</v>
      </c>
      <c r="AQ62" s="492">
        <v>0</v>
      </c>
      <c r="AR62" s="491">
        <f t="shared" si="150"/>
        <v>4.12</v>
      </c>
    </row>
    <row r="63" spans="1:44" s="152" customFormat="1" x14ac:dyDescent="0.2">
      <c r="A63" s="107">
        <v>13</v>
      </c>
      <c r="B63" s="15">
        <v>4440</v>
      </c>
      <c r="C63" s="15">
        <v>600074897</v>
      </c>
      <c r="D63" s="15">
        <v>48283029</v>
      </c>
      <c r="E63" s="116" t="s">
        <v>165</v>
      </c>
      <c r="F63" s="15"/>
      <c r="G63" s="106"/>
      <c r="H63" s="560"/>
      <c r="I63" s="794">
        <f t="shared" ref="I63:AR63" si="151">SUM(I59:I62)</f>
        <v>29606669</v>
      </c>
      <c r="J63" s="343">
        <f t="shared" si="151"/>
        <v>21963404</v>
      </c>
      <c r="K63" s="343">
        <f t="shared" si="151"/>
        <v>7423631</v>
      </c>
      <c r="L63" s="343">
        <f t="shared" si="151"/>
        <v>219634</v>
      </c>
      <c r="M63" s="343">
        <f t="shared" si="151"/>
        <v>0</v>
      </c>
      <c r="N63" s="35">
        <f t="shared" si="151"/>
        <v>31.51</v>
      </c>
      <c r="O63" s="346">
        <f t="shared" si="151"/>
        <v>-90000</v>
      </c>
      <c r="P63" s="343">
        <f t="shared" si="151"/>
        <v>2471589</v>
      </c>
      <c r="Q63" s="343">
        <f t="shared" si="151"/>
        <v>0</v>
      </c>
      <c r="R63" s="343">
        <f t="shared" si="151"/>
        <v>0</v>
      </c>
      <c r="S63" s="343">
        <f t="shared" si="151"/>
        <v>0</v>
      </c>
      <c r="T63" s="343">
        <f t="shared" si="151"/>
        <v>0</v>
      </c>
      <c r="U63" s="343">
        <f t="shared" si="151"/>
        <v>2381589</v>
      </c>
      <c r="V63" s="343">
        <f t="shared" si="151"/>
        <v>90000</v>
      </c>
      <c r="W63" s="343">
        <f t="shared" si="151"/>
        <v>0</v>
      </c>
      <c r="X63" s="343">
        <f t="shared" si="151"/>
        <v>0</v>
      </c>
      <c r="Y63" s="343">
        <f t="shared" si="151"/>
        <v>90000</v>
      </c>
      <c r="Z63" s="343">
        <f t="shared" si="151"/>
        <v>2471589</v>
      </c>
      <c r="AA63" s="343">
        <f t="shared" si="151"/>
        <v>835397</v>
      </c>
      <c r="AB63" s="343">
        <f t="shared" si="151"/>
        <v>23816</v>
      </c>
      <c r="AC63" s="343">
        <f t="shared" si="151"/>
        <v>0</v>
      </c>
      <c r="AD63" s="799">
        <f t="shared" si="151"/>
        <v>3330802</v>
      </c>
      <c r="AE63" s="803">
        <f t="shared" si="151"/>
        <v>-0.1</v>
      </c>
      <c r="AF63" s="344">
        <f t="shared" si="151"/>
        <v>6.18</v>
      </c>
      <c r="AG63" s="344">
        <f t="shared" si="151"/>
        <v>0</v>
      </c>
      <c r="AH63" s="344">
        <f t="shared" si="151"/>
        <v>0</v>
      </c>
      <c r="AI63" s="344">
        <f t="shared" si="151"/>
        <v>0</v>
      </c>
      <c r="AJ63" s="344">
        <f t="shared" si="151"/>
        <v>0</v>
      </c>
      <c r="AK63" s="35">
        <f t="shared" si="151"/>
        <v>6.08</v>
      </c>
      <c r="AL63" s="346">
        <f t="shared" si="151"/>
        <v>32937471</v>
      </c>
      <c r="AM63" s="343">
        <f t="shared" si="151"/>
        <v>24344993</v>
      </c>
      <c r="AN63" s="343">
        <f t="shared" si="151"/>
        <v>90000</v>
      </c>
      <c r="AO63" s="343">
        <f t="shared" si="151"/>
        <v>8259028</v>
      </c>
      <c r="AP63" s="343">
        <f t="shared" si="151"/>
        <v>243450</v>
      </c>
      <c r="AQ63" s="343">
        <f t="shared" si="151"/>
        <v>0</v>
      </c>
      <c r="AR63" s="344">
        <f t="shared" si="151"/>
        <v>37.589999999999996</v>
      </c>
    </row>
    <row r="64" spans="1:44" s="152" customFormat="1" x14ac:dyDescent="0.2">
      <c r="A64" s="140">
        <v>14</v>
      </c>
      <c r="B64" s="141">
        <v>4442</v>
      </c>
      <c r="C64" s="141">
        <v>600074901</v>
      </c>
      <c r="D64" s="141">
        <v>48283061</v>
      </c>
      <c r="E64" s="139" t="s">
        <v>166</v>
      </c>
      <c r="F64" s="141">
        <v>3113</v>
      </c>
      <c r="G64" s="117" t="s">
        <v>280</v>
      </c>
      <c r="H64" s="565" t="s">
        <v>262</v>
      </c>
      <c r="I64" s="586">
        <f>SUM(J64:L64)</f>
        <v>17397532</v>
      </c>
      <c r="J64" s="490">
        <v>12906181</v>
      </c>
      <c r="K64" s="55">
        <f t="shared" ref="K64:K67" si="152">ROUND(J64*33.8%,0)</f>
        <v>4362289</v>
      </c>
      <c r="L64" s="55">
        <f t="shared" ref="L64:L67" si="153">ROUND(J64*1%,0)</f>
        <v>129062</v>
      </c>
      <c r="M64" s="55">
        <v>0</v>
      </c>
      <c r="N64" s="631">
        <v>16.55</v>
      </c>
      <c r="O64" s="445">
        <f t="shared" ref="O64:O67" si="154">V64*-1</f>
        <v>-30000</v>
      </c>
      <c r="P64" s="325">
        <v>0</v>
      </c>
      <c r="Q64" s="325">
        <v>0</v>
      </c>
      <c r="R64" s="325">
        <v>0</v>
      </c>
      <c r="S64" s="325">
        <v>0</v>
      </c>
      <c r="T64" s="325">
        <v>0</v>
      </c>
      <c r="U64" s="492">
        <f t="shared" ref="U64:U67" si="155">O64+P64+Q64+R64+S64+T64</f>
        <v>-30000</v>
      </c>
      <c r="V64" s="325">
        <v>30000</v>
      </c>
      <c r="W64" s="325">
        <v>0</v>
      </c>
      <c r="X64" s="325">
        <v>0</v>
      </c>
      <c r="Y64" s="492">
        <f t="shared" ref="Y64:Y67" si="156">V64+W64+X64</f>
        <v>30000</v>
      </c>
      <c r="Z64" s="492">
        <f t="shared" ref="Z64:Z67" si="157">U64+Y64</f>
        <v>0</v>
      </c>
      <c r="AA64" s="494">
        <f t="shared" ref="AA64:AA67" si="158">ROUND((U64+Y64)*33.8%,0)</f>
        <v>0</v>
      </c>
      <c r="AB64" s="494">
        <f t="shared" ref="AB64:AB67" si="159">ROUND(U64*1%,0)</f>
        <v>-300</v>
      </c>
      <c r="AC64" s="492">
        <v>0</v>
      </c>
      <c r="AD64" s="789">
        <f t="shared" ref="AD64:AD67" si="160">Z64+AA64+AB64+AC64</f>
        <v>-300</v>
      </c>
      <c r="AE64" s="715">
        <v>-0.03</v>
      </c>
      <c r="AF64" s="326">
        <v>0</v>
      </c>
      <c r="AG64" s="326">
        <v>0</v>
      </c>
      <c r="AH64" s="326">
        <v>0</v>
      </c>
      <c r="AI64" s="326">
        <v>0</v>
      </c>
      <c r="AJ64" s="326">
        <v>0</v>
      </c>
      <c r="AK64" s="626">
        <f t="shared" ref="AK64:AK67" si="161">SUM(AE64:AJ64)</f>
        <v>-0.03</v>
      </c>
      <c r="AL64" s="493">
        <f>I64+AD64</f>
        <v>17397232</v>
      </c>
      <c r="AM64" s="492">
        <f>J64+U64</f>
        <v>12876181</v>
      </c>
      <c r="AN64" s="492">
        <f t="shared" ref="AN64:AN67" si="162">Y64</f>
        <v>30000</v>
      </c>
      <c r="AO64" s="492">
        <f t="shared" ref="AO64:AP67" si="163">K64+AA64</f>
        <v>4362289</v>
      </c>
      <c r="AP64" s="492">
        <f t="shared" si="163"/>
        <v>128762</v>
      </c>
      <c r="AQ64" s="492">
        <v>0</v>
      </c>
      <c r="AR64" s="491">
        <f t="shared" ref="AR64:AR67" si="164">N64+AK64</f>
        <v>16.52</v>
      </c>
    </row>
    <row r="65" spans="1:44" s="152" customFormat="1" x14ac:dyDescent="0.2">
      <c r="A65" s="140">
        <v>14</v>
      </c>
      <c r="B65" s="141">
        <v>4442</v>
      </c>
      <c r="C65" s="141">
        <v>600074901</v>
      </c>
      <c r="D65" s="141">
        <v>48283061</v>
      </c>
      <c r="E65" s="139" t="s">
        <v>166</v>
      </c>
      <c r="F65" s="141">
        <v>3113</v>
      </c>
      <c r="G65" s="117" t="s">
        <v>278</v>
      </c>
      <c r="H65" s="565" t="s">
        <v>263</v>
      </c>
      <c r="I65" s="586">
        <f>SUM(J65:L65)</f>
        <v>0</v>
      </c>
      <c r="J65" s="490">
        <v>0</v>
      </c>
      <c r="K65" s="55">
        <f t="shared" si="152"/>
        <v>0</v>
      </c>
      <c r="L65" s="55">
        <f t="shared" si="153"/>
        <v>0</v>
      </c>
      <c r="M65" s="55">
        <v>0</v>
      </c>
      <c r="N65" s="631">
        <v>0</v>
      </c>
      <c r="O65" s="440">
        <f t="shared" si="154"/>
        <v>0</v>
      </c>
      <c r="P65" s="325">
        <v>1543302</v>
      </c>
      <c r="Q65" s="325">
        <v>0</v>
      </c>
      <c r="R65" s="325">
        <v>0</v>
      </c>
      <c r="S65" s="325">
        <v>0</v>
      </c>
      <c r="T65" s="325">
        <v>0</v>
      </c>
      <c r="U65" s="492">
        <f t="shared" si="155"/>
        <v>1543302</v>
      </c>
      <c r="V65" s="325">
        <v>0</v>
      </c>
      <c r="W65" s="325">
        <v>0</v>
      </c>
      <c r="X65" s="325">
        <v>0</v>
      </c>
      <c r="Y65" s="492">
        <f t="shared" si="156"/>
        <v>0</v>
      </c>
      <c r="Z65" s="492">
        <f t="shared" si="157"/>
        <v>1543302</v>
      </c>
      <c r="AA65" s="494">
        <f t="shared" si="158"/>
        <v>521636</v>
      </c>
      <c r="AB65" s="494">
        <f t="shared" si="159"/>
        <v>15433</v>
      </c>
      <c r="AC65" s="492">
        <v>0</v>
      </c>
      <c r="AD65" s="789">
        <f t="shared" si="160"/>
        <v>2080371</v>
      </c>
      <c r="AE65" s="715">
        <v>0</v>
      </c>
      <c r="AF65" s="326">
        <v>3.89</v>
      </c>
      <c r="AG65" s="326">
        <v>0</v>
      </c>
      <c r="AH65" s="326">
        <v>0</v>
      </c>
      <c r="AI65" s="326">
        <v>0</v>
      </c>
      <c r="AJ65" s="326">
        <v>0</v>
      </c>
      <c r="AK65" s="626">
        <f t="shared" si="161"/>
        <v>3.89</v>
      </c>
      <c r="AL65" s="493">
        <f>I65+AD65</f>
        <v>2080371</v>
      </c>
      <c r="AM65" s="492">
        <f>J65+U65</f>
        <v>1543302</v>
      </c>
      <c r="AN65" s="492">
        <f t="shared" si="162"/>
        <v>0</v>
      </c>
      <c r="AO65" s="492">
        <f t="shared" si="163"/>
        <v>521636</v>
      </c>
      <c r="AP65" s="492">
        <f t="shared" si="163"/>
        <v>15433</v>
      </c>
      <c r="AQ65" s="492">
        <v>0</v>
      </c>
      <c r="AR65" s="491">
        <f t="shared" si="164"/>
        <v>3.89</v>
      </c>
    </row>
    <row r="66" spans="1:44" s="152" customFormat="1" x14ac:dyDescent="0.2">
      <c r="A66" s="140">
        <v>14</v>
      </c>
      <c r="B66" s="141">
        <v>4442</v>
      </c>
      <c r="C66" s="141">
        <v>600074901</v>
      </c>
      <c r="D66" s="141">
        <v>48283061</v>
      </c>
      <c r="E66" s="135" t="s">
        <v>166</v>
      </c>
      <c r="F66" s="141">
        <v>3143</v>
      </c>
      <c r="G66" s="117" t="s">
        <v>794</v>
      </c>
      <c r="H66" s="157" t="s">
        <v>262</v>
      </c>
      <c r="I66" s="586">
        <f>SUM(J66:L66)</f>
        <v>2079941</v>
      </c>
      <c r="J66" s="490">
        <v>1542983</v>
      </c>
      <c r="K66" s="55">
        <f t="shared" si="152"/>
        <v>521528</v>
      </c>
      <c r="L66" s="55">
        <f t="shared" si="153"/>
        <v>15430</v>
      </c>
      <c r="M66" s="55">
        <v>0</v>
      </c>
      <c r="N66" s="631">
        <v>2.65</v>
      </c>
      <c r="O66" s="440">
        <f t="shared" si="154"/>
        <v>-9000</v>
      </c>
      <c r="P66" s="325">
        <v>0</v>
      </c>
      <c r="Q66" s="325">
        <v>0</v>
      </c>
      <c r="R66" s="325">
        <v>0</v>
      </c>
      <c r="S66" s="325">
        <v>0</v>
      </c>
      <c r="T66" s="325">
        <v>0</v>
      </c>
      <c r="U66" s="492">
        <f t="shared" si="155"/>
        <v>-9000</v>
      </c>
      <c r="V66" s="325">
        <v>9000</v>
      </c>
      <c r="W66" s="325">
        <v>0</v>
      </c>
      <c r="X66" s="325">
        <v>0</v>
      </c>
      <c r="Y66" s="492">
        <f t="shared" si="156"/>
        <v>9000</v>
      </c>
      <c r="Z66" s="492">
        <f t="shared" si="157"/>
        <v>0</v>
      </c>
      <c r="AA66" s="494">
        <f t="shared" si="158"/>
        <v>0</v>
      </c>
      <c r="AB66" s="494">
        <f t="shared" si="159"/>
        <v>-90</v>
      </c>
      <c r="AC66" s="492">
        <v>0</v>
      </c>
      <c r="AD66" s="789">
        <f t="shared" si="160"/>
        <v>-90</v>
      </c>
      <c r="AE66" s="715">
        <v>-0.01</v>
      </c>
      <c r="AF66" s="326">
        <v>0</v>
      </c>
      <c r="AG66" s="326">
        <v>0</v>
      </c>
      <c r="AH66" s="326">
        <v>0</v>
      </c>
      <c r="AI66" s="326">
        <v>0</v>
      </c>
      <c r="AJ66" s="326">
        <v>0</v>
      </c>
      <c r="AK66" s="626">
        <f t="shared" si="161"/>
        <v>-0.01</v>
      </c>
      <c r="AL66" s="493">
        <f>I66+AD66</f>
        <v>2079851</v>
      </c>
      <c r="AM66" s="492">
        <f>J66+U66</f>
        <v>1533983</v>
      </c>
      <c r="AN66" s="492">
        <f t="shared" si="162"/>
        <v>9000</v>
      </c>
      <c r="AO66" s="492">
        <f t="shared" si="163"/>
        <v>521528</v>
      </c>
      <c r="AP66" s="492">
        <f t="shared" si="163"/>
        <v>15340</v>
      </c>
      <c r="AQ66" s="492">
        <v>0</v>
      </c>
      <c r="AR66" s="491">
        <f t="shared" si="164"/>
        <v>2.64</v>
      </c>
    </row>
    <row r="67" spans="1:44" s="152" customFormat="1" x14ac:dyDescent="0.2">
      <c r="A67" s="140">
        <v>14</v>
      </c>
      <c r="B67" s="141">
        <v>4442</v>
      </c>
      <c r="C67" s="141">
        <v>600074901</v>
      </c>
      <c r="D67" s="141">
        <v>48283061</v>
      </c>
      <c r="E67" s="135" t="s">
        <v>166</v>
      </c>
      <c r="F67" s="141">
        <v>3143</v>
      </c>
      <c r="G67" s="117" t="s">
        <v>282</v>
      </c>
      <c r="H67" s="157" t="s">
        <v>263</v>
      </c>
      <c r="I67" s="586">
        <f>SUM(J67:L67)</f>
        <v>284607</v>
      </c>
      <c r="J67" s="490">
        <v>211133</v>
      </c>
      <c r="K67" s="55">
        <f t="shared" si="152"/>
        <v>71363</v>
      </c>
      <c r="L67" s="55">
        <f t="shared" si="153"/>
        <v>2111</v>
      </c>
      <c r="M67" s="55">
        <v>0</v>
      </c>
      <c r="N67" s="631">
        <v>0.39</v>
      </c>
      <c r="O67" s="440">
        <f t="shared" si="154"/>
        <v>0</v>
      </c>
      <c r="P67" s="325">
        <v>0</v>
      </c>
      <c r="Q67" s="325">
        <v>0</v>
      </c>
      <c r="R67" s="325">
        <v>0</v>
      </c>
      <c r="S67" s="325">
        <v>0</v>
      </c>
      <c r="T67" s="325">
        <v>0</v>
      </c>
      <c r="U67" s="492">
        <f t="shared" si="155"/>
        <v>0</v>
      </c>
      <c r="V67" s="325">
        <v>0</v>
      </c>
      <c r="W67" s="325">
        <v>0</v>
      </c>
      <c r="X67" s="325">
        <v>0</v>
      </c>
      <c r="Y67" s="492">
        <f t="shared" si="156"/>
        <v>0</v>
      </c>
      <c r="Z67" s="492">
        <f t="shared" si="157"/>
        <v>0</v>
      </c>
      <c r="AA67" s="494">
        <f t="shared" si="158"/>
        <v>0</v>
      </c>
      <c r="AB67" s="494">
        <f t="shared" si="159"/>
        <v>0</v>
      </c>
      <c r="AC67" s="492">
        <v>0</v>
      </c>
      <c r="AD67" s="789">
        <f t="shared" si="160"/>
        <v>0</v>
      </c>
      <c r="AE67" s="715">
        <v>0</v>
      </c>
      <c r="AF67" s="326">
        <v>0</v>
      </c>
      <c r="AG67" s="326">
        <v>0</v>
      </c>
      <c r="AH67" s="326">
        <v>0</v>
      </c>
      <c r="AI67" s="326">
        <v>0</v>
      </c>
      <c r="AJ67" s="326">
        <v>0</v>
      </c>
      <c r="AK67" s="626">
        <f t="shared" si="161"/>
        <v>0</v>
      </c>
      <c r="AL67" s="493">
        <f>I67+AD67</f>
        <v>284607</v>
      </c>
      <c r="AM67" s="492">
        <f>J67+U67</f>
        <v>211133</v>
      </c>
      <c r="AN67" s="492">
        <f t="shared" si="162"/>
        <v>0</v>
      </c>
      <c r="AO67" s="492">
        <f t="shared" si="163"/>
        <v>71363</v>
      </c>
      <c r="AP67" s="492">
        <f t="shared" si="163"/>
        <v>2111</v>
      </c>
      <c r="AQ67" s="492">
        <v>0</v>
      </c>
      <c r="AR67" s="491">
        <f t="shared" si="164"/>
        <v>0.39</v>
      </c>
    </row>
    <row r="68" spans="1:44" s="152" customFormat="1" x14ac:dyDescent="0.2">
      <c r="A68" s="107">
        <v>14</v>
      </c>
      <c r="B68" s="15">
        <v>4442</v>
      </c>
      <c r="C68" s="15">
        <v>600074901</v>
      </c>
      <c r="D68" s="15">
        <v>48283061</v>
      </c>
      <c r="E68" s="116" t="s">
        <v>167</v>
      </c>
      <c r="F68" s="15"/>
      <c r="G68" s="106"/>
      <c r="H68" s="560"/>
      <c r="I68" s="794">
        <f t="shared" ref="I68:AR68" si="165">SUM(I64:I67)</f>
        <v>19762080</v>
      </c>
      <c r="J68" s="343">
        <f t="shared" si="165"/>
        <v>14660297</v>
      </c>
      <c r="K68" s="343">
        <f t="shared" si="165"/>
        <v>4955180</v>
      </c>
      <c r="L68" s="343">
        <f t="shared" si="165"/>
        <v>146603</v>
      </c>
      <c r="M68" s="343">
        <f t="shared" si="165"/>
        <v>0</v>
      </c>
      <c r="N68" s="35">
        <f t="shared" si="165"/>
        <v>19.59</v>
      </c>
      <c r="O68" s="346">
        <f t="shared" si="165"/>
        <v>-39000</v>
      </c>
      <c r="P68" s="343">
        <f t="shared" si="165"/>
        <v>1543302</v>
      </c>
      <c r="Q68" s="343">
        <f t="shared" si="165"/>
        <v>0</v>
      </c>
      <c r="R68" s="343">
        <f t="shared" si="165"/>
        <v>0</v>
      </c>
      <c r="S68" s="343">
        <f t="shared" si="165"/>
        <v>0</v>
      </c>
      <c r="T68" s="343">
        <f t="shared" si="165"/>
        <v>0</v>
      </c>
      <c r="U68" s="343">
        <f t="shared" si="165"/>
        <v>1504302</v>
      </c>
      <c r="V68" s="343">
        <f t="shared" si="165"/>
        <v>39000</v>
      </c>
      <c r="W68" s="343">
        <f t="shared" si="165"/>
        <v>0</v>
      </c>
      <c r="X68" s="343">
        <f t="shared" si="165"/>
        <v>0</v>
      </c>
      <c r="Y68" s="343">
        <f t="shared" si="165"/>
        <v>39000</v>
      </c>
      <c r="Z68" s="343">
        <f t="shared" si="165"/>
        <v>1543302</v>
      </c>
      <c r="AA68" s="343">
        <f t="shared" si="165"/>
        <v>521636</v>
      </c>
      <c r="AB68" s="343">
        <f t="shared" si="165"/>
        <v>15043</v>
      </c>
      <c r="AC68" s="343">
        <f t="shared" si="165"/>
        <v>0</v>
      </c>
      <c r="AD68" s="799">
        <f t="shared" si="165"/>
        <v>2079981</v>
      </c>
      <c r="AE68" s="803">
        <f t="shared" si="165"/>
        <v>-0.04</v>
      </c>
      <c r="AF68" s="344">
        <f t="shared" si="165"/>
        <v>3.89</v>
      </c>
      <c r="AG68" s="344">
        <f t="shared" si="165"/>
        <v>0</v>
      </c>
      <c r="AH68" s="344">
        <f t="shared" si="165"/>
        <v>0</v>
      </c>
      <c r="AI68" s="344">
        <f t="shared" si="165"/>
        <v>0</v>
      </c>
      <c r="AJ68" s="344">
        <f t="shared" si="165"/>
        <v>0</v>
      </c>
      <c r="AK68" s="35">
        <f t="shared" si="165"/>
        <v>3.8500000000000005</v>
      </c>
      <c r="AL68" s="346">
        <f t="shared" si="165"/>
        <v>21842061</v>
      </c>
      <c r="AM68" s="343">
        <f t="shared" si="165"/>
        <v>16164599</v>
      </c>
      <c r="AN68" s="343">
        <f t="shared" si="165"/>
        <v>39000</v>
      </c>
      <c r="AO68" s="343">
        <f t="shared" si="165"/>
        <v>5476816</v>
      </c>
      <c r="AP68" s="343">
        <f t="shared" si="165"/>
        <v>161646</v>
      </c>
      <c r="AQ68" s="343">
        <f t="shared" si="165"/>
        <v>0</v>
      </c>
      <c r="AR68" s="344">
        <f t="shared" si="165"/>
        <v>23.44</v>
      </c>
    </row>
    <row r="69" spans="1:44" s="152" customFormat="1" x14ac:dyDescent="0.2">
      <c r="A69" s="140">
        <v>15</v>
      </c>
      <c r="B69" s="141">
        <v>4436</v>
      </c>
      <c r="C69" s="141">
        <v>600074986</v>
      </c>
      <c r="D69" s="141">
        <v>70982198</v>
      </c>
      <c r="E69" s="139" t="s">
        <v>168</v>
      </c>
      <c r="F69" s="141">
        <v>3113</v>
      </c>
      <c r="G69" s="117" t="s">
        <v>280</v>
      </c>
      <c r="H69" s="565" t="s">
        <v>262</v>
      </c>
      <c r="I69" s="586">
        <f>SUM(J69:L69)</f>
        <v>29122570</v>
      </c>
      <c r="J69" s="490">
        <v>21604281</v>
      </c>
      <c r="K69" s="55">
        <f t="shared" ref="K69:K71" si="166">ROUND(J69*33.8%,0)</f>
        <v>7302247</v>
      </c>
      <c r="L69" s="55">
        <f>ROUND(J69*1%,0)-1</f>
        <v>216042</v>
      </c>
      <c r="M69" s="55">
        <v>0</v>
      </c>
      <c r="N69" s="631">
        <v>29.23</v>
      </c>
      <c r="O69" s="445">
        <f>V69*-1</f>
        <v>-18000</v>
      </c>
      <c r="P69" s="325">
        <v>0</v>
      </c>
      <c r="Q69" s="325">
        <v>122320</v>
      </c>
      <c r="R69" s="325">
        <v>0</v>
      </c>
      <c r="S69" s="325">
        <v>0</v>
      </c>
      <c r="T69" s="325">
        <v>0</v>
      </c>
      <c r="U69" s="492">
        <f t="shared" ref="U69:U71" si="167">O69+P69+Q69+R69+S69+T69</f>
        <v>104320</v>
      </c>
      <c r="V69" s="325">
        <v>18000</v>
      </c>
      <c r="W69" s="325">
        <v>0</v>
      </c>
      <c r="X69" s="325">
        <v>0</v>
      </c>
      <c r="Y69" s="492">
        <f t="shared" ref="Y69:Y71" si="168">V69+W69+X69</f>
        <v>18000</v>
      </c>
      <c r="Z69" s="492">
        <f t="shared" ref="Z69:Z71" si="169">U69+Y69</f>
        <v>122320</v>
      </c>
      <c r="AA69" s="494">
        <f t="shared" ref="AA69:AA71" si="170">ROUND((U69+Y69)*33.8%,0)</f>
        <v>41344</v>
      </c>
      <c r="AB69" s="494">
        <f t="shared" ref="AB69:AB71" si="171">ROUND(U69*1%,0)</f>
        <v>1043</v>
      </c>
      <c r="AC69" s="492">
        <v>0</v>
      </c>
      <c r="AD69" s="789">
        <f t="shared" ref="AD69:AD71" si="172">Z69+AA69+AB69+AC69</f>
        <v>164707</v>
      </c>
      <c r="AE69" s="715">
        <v>-0.03</v>
      </c>
      <c r="AF69" s="326">
        <v>0</v>
      </c>
      <c r="AG69" s="326">
        <v>0</v>
      </c>
      <c r="AH69" s="326">
        <v>0.17</v>
      </c>
      <c r="AI69" s="326">
        <v>0</v>
      </c>
      <c r="AJ69" s="326">
        <v>0</v>
      </c>
      <c r="AK69" s="626">
        <f t="shared" ref="AK69:AK71" si="173">SUM(AE69:AJ69)</f>
        <v>0.14000000000000001</v>
      </c>
      <c r="AL69" s="493">
        <f>I69+AD69</f>
        <v>29287277</v>
      </c>
      <c r="AM69" s="492">
        <f>J69+U69</f>
        <v>21708601</v>
      </c>
      <c r="AN69" s="492">
        <f t="shared" ref="AN69:AN71" si="174">Y69</f>
        <v>18000</v>
      </c>
      <c r="AO69" s="492">
        <f t="shared" ref="AO69:AP71" si="175">K69+AA69</f>
        <v>7343591</v>
      </c>
      <c r="AP69" s="492">
        <f t="shared" si="175"/>
        <v>217085</v>
      </c>
      <c r="AQ69" s="492">
        <v>0</v>
      </c>
      <c r="AR69" s="491">
        <f t="shared" ref="AR69:AR71" si="176">N69+AK69</f>
        <v>29.37</v>
      </c>
    </row>
    <row r="70" spans="1:44" s="152" customFormat="1" x14ac:dyDescent="0.2">
      <c r="A70" s="140">
        <v>15</v>
      </c>
      <c r="B70" s="141">
        <v>4436</v>
      </c>
      <c r="C70" s="141">
        <v>600074986</v>
      </c>
      <c r="D70" s="141">
        <v>70982198</v>
      </c>
      <c r="E70" s="139" t="s">
        <v>168</v>
      </c>
      <c r="F70" s="141">
        <v>3113</v>
      </c>
      <c r="G70" s="117" t="s">
        <v>278</v>
      </c>
      <c r="H70" s="565" t="s">
        <v>263</v>
      </c>
      <c r="I70" s="586">
        <f>SUM(J70:L70)</f>
        <v>0</v>
      </c>
      <c r="J70" s="490">
        <v>0</v>
      </c>
      <c r="K70" s="55">
        <f t="shared" si="166"/>
        <v>0</v>
      </c>
      <c r="L70" s="55">
        <f t="shared" ref="L70:L71" si="177">ROUND(J70*1%,0)</f>
        <v>0</v>
      </c>
      <c r="M70" s="55">
        <v>0</v>
      </c>
      <c r="N70" s="631">
        <v>0</v>
      </c>
      <c r="O70" s="440">
        <f>V70*-1</f>
        <v>0</v>
      </c>
      <c r="P70" s="325">
        <f>2599431</f>
        <v>2599431</v>
      </c>
      <c r="Q70" s="325">
        <v>0</v>
      </c>
      <c r="R70" s="325">
        <v>0</v>
      </c>
      <c r="S70" s="325">
        <v>0</v>
      </c>
      <c r="T70" s="325">
        <v>0</v>
      </c>
      <c r="U70" s="492">
        <f t="shared" si="167"/>
        <v>2599431</v>
      </c>
      <c r="V70" s="325">
        <v>0</v>
      </c>
      <c r="W70" s="325">
        <v>0</v>
      </c>
      <c r="X70" s="325">
        <v>0</v>
      </c>
      <c r="Y70" s="492">
        <f t="shared" si="168"/>
        <v>0</v>
      </c>
      <c r="Z70" s="492">
        <f t="shared" si="169"/>
        <v>2599431</v>
      </c>
      <c r="AA70" s="494">
        <f t="shared" si="170"/>
        <v>878608</v>
      </c>
      <c r="AB70" s="494">
        <f t="shared" si="171"/>
        <v>25994</v>
      </c>
      <c r="AC70" s="492">
        <v>0</v>
      </c>
      <c r="AD70" s="789">
        <f t="shared" si="172"/>
        <v>3504033</v>
      </c>
      <c r="AE70" s="715">
        <v>0</v>
      </c>
      <c r="AF70" s="326">
        <f>6.52</f>
        <v>6.52</v>
      </c>
      <c r="AG70" s="326">
        <v>0</v>
      </c>
      <c r="AH70" s="326">
        <v>0</v>
      </c>
      <c r="AI70" s="326">
        <v>0</v>
      </c>
      <c r="AJ70" s="326">
        <v>0</v>
      </c>
      <c r="AK70" s="626">
        <f t="shared" si="173"/>
        <v>6.52</v>
      </c>
      <c r="AL70" s="493">
        <f>I70+AD70</f>
        <v>3504033</v>
      </c>
      <c r="AM70" s="492">
        <f>J70+U70</f>
        <v>2599431</v>
      </c>
      <c r="AN70" s="492">
        <f t="shared" si="174"/>
        <v>0</v>
      </c>
      <c r="AO70" s="492">
        <f t="shared" si="175"/>
        <v>878608</v>
      </c>
      <c r="AP70" s="492">
        <f t="shared" si="175"/>
        <v>25994</v>
      </c>
      <c r="AQ70" s="492">
        <v>0</v>
      </c>
      <c r="AR70" s="491">
        <f t="shared" si="176"/>
        <v>6.52</v>
      </c>
    </row>
    <row r="71" spans="1:44" s="152" customFormat="1" x14ac:dyDescent="0.2">
      <c r="A71" s="140">
        <v>15</v>
      </c>
      <c r="B71" s="141">
        <v>4436</v>
      </c>
      <c r="C71" s="141">
        <v>600074986</v>
      </c>
      <c r="D71" s="141">
        <v>70982198</v>
      </c>
      <c r="E71" s="135" t="s">
        <v>168</v>
      </c>
      <c r="F71" s="141">
        <v>3143</v>
      </c>
      <c r="G71" s="117" t="s">
        <v>794</v>
      </c>
      <c r="H71" s="157" t="s">
        <v>262</v>
      </c>
      <c r="I71" s="586">
        <f>SUM(J71:L71)</f>
        <v>2709160</v>
      </c>
      <c r="J71" s="490">
        <v>2009762</v>
      </c>
      <c r="K71" s="55">
        <f t="shared" si="166"/>
        <v>679300</v>
      </c>
      <c r="L71" s="55">
        <f t="shared" si="177"/>
        <v>20098</v>
      </c>
      <c r="M71" s="55">
        <v>0</v>
      </c>
      <c r="N71" s="631">
        <v>3.66</v>
      </c>
      <c r="O71" s="440">
        <f>V71*-1</f>
        <v>-3000</v>
      </c>
      <c r="P71" s="325">
        <v>0</v>
      </c>
      <c r="Q71" s="325">
        <v>0</v>
      </c>
      <c r="R71" s="325">
        <v>0</v>
      </c>
      <c r="S71" s="325">
        <v>0</v>
      </c>
      <c r="T71" s="325">
        <v>0</v>
      </c>
      <c r="U71" s="492">
        <f t="shared" si="167"/>
        <v>-3000</v>
      </c>
      <c r="V71" s="325">
        <v>3000</v>
      </c>
      <c r="W71" s="325">
        <v>0</v>
      </c>
      <c r="X71" s="325">
        <v>0</v>
      </c>
      <c r="Y71" s="492">
        <f t="shared" si="168"/>
        <v>3000</v>
      </c>
      <c r="Z71" s="492">
        <f t="shared" si="169"/>
        <v>0</v>
      </c>
      <c r="AA71" s="494">
        <f t="shared" si="170"/>
        <v>0</v>
      </c>
      <c r="AB71" s="494">
        <f t="shared" si="171"/>
        <v>-30</v>
      </c>
      <c r="AC71" s="492">
        <v>0</v>
      </c>
      <c r="AD71" s="789">
        <f t="shared" si="172"/>
        <v>-30</v>
      </c>
      <c r="AE71" s="715">
        <v>0</v>
      </c>
      <c r="AF71" s="326">
        <v>0</v>
      </c>
      <c r="AG71" s="326">
        <v>0</v>
      </c>
      <c r="AH71" s="326">
        <v>0</v>
      </c>
      <c r="AI71" s="326">
        <v>0</v>
      </c>
      <c r="AJ71" s="326">
        <v>0</v>
      </c>
      <c r="AK71" s="626">
        <f t="shared" si="173"/>
        <v>0</v>
      </c>
      <c r="AL71" s="493">
        <f>I71+AD71</f>
        <v>2709130</v>
      </c>
      <c r="AM71" s="492">
        <f>J71+U71</f>
        <v>2006762</v>
      </c>
      <c r="AN71" s="492">
        <f t="shared" si="174"/>
        <v>3000</v>
      </c>
      <c r="AO71" s="492">
        <f t="shared" si="175"/>
        <v>679300</v>
      </c>
      <c r="AP71" s="492">
        <f t="shared" si="175"/>
        <v>20068</v>
      </c>
      <c r="AQ71" s="492">
        <v>0</v>
      </c>
      <c r="AR71" s="491">
        <f t="shared" si="176"/>
        <v>3.66</v>
      </c>
    </row>
    <row r="72" spans="1:44" s="152" customFormat="1" x14ac:dyDescent="0.2">
      <c r="A72" s="107">
        <v>15</v>
      </c>
      <c r="B72" s="15">
        <v>4436</v>
      </c>
      <c r="C72" s="15">
        <v>600074986</v>
      </c>
      <c r="D72" s="15">
        <v>70982198</v>
      </c>
      <c r="E72" s="116" t="s">
        <v>169</v>
      </c>
      <c r="F72" s="15"/>
      <c r="G72" s="106"/>
      <c r="H72" s="560"/>
      <c r="I72" s="794">
        <f t="shared" ref="I72:AR72" si="178">SUM(I69:I71)</f>
        <v>31831730</v>
      </c>
      <c r="J72" s="343">
        <f t="shared" si="178"/>
        <v>23614043</v>
      </c>
      <c r="K72" s="343">
        <f t="shared" si="178"/>
        <v>7981547</v>
      </c>
      <c r="L72" s="343">
        <f t="shared" si="178"/>
        <v>236140</v>
      </c>
      <c r="M72" s="343">
        <f t="shared" si="178"/>
        <v>0</v>
      </c>
      <c r="N72" s="35">
        <f t="shared" si="178"/>
        <v>32.89</v>
      </c>
      <c r="O72" s="346">
        <f t="shared" si="178"/>
        <v>-21000</v>
      </c>
      <c r="P72" s="343">
        <f t="shared" si="178"/>
        <v>2599431</v>
      </c>
      <c r="Q72" s="343">
        <f t="shared" si="178"/>
        <v>122320</v>
      </c>
      <c r="R72" s="343">
        <f t="shared" si="178"/>
        <v>0</v>
      </c>
      <c r="S72" s="343">
        <f t="shared" si="178"/>
        <v>0</v>
      </c>
      <c r="T72" s="343">
        <f t="shared" si="178"/>
        <v>0</v>
      </c>
      <c r="U72" s="343">
        <f t="shared" si="178"/>
        <v>2700751</v>
      </c>
      <c r="V72" s="343">
        <f t="shared" si="178"/>
        <v>21000</v>
      </c>
      <c r="W72" s="343">
        <f t="shared" si="178"/>
        <v>0</v>
      </c>
      <c r="X72" s="343">
        <f t="shared" si="178"/>
        <v>0</v>
      </c>
      <c r="Y72" s="343">
        <f t="shared" si="178"/>
        <v>21000</v>
      </c>
      <c r="Z72" s="343">
        <f t="shared" si="178"/>
        <v>2721751</v>
      </c>
      <c r="AA72" s="343">
        <f t="shared" si="178"/>
        <v>919952</v>
      </c>
      <c r="AB72" s="343">
        <f t="shared" si="178"/>
        <v>27007</v>
      </c>
      <c r="AC72" s="343">
        <f t="shared" si="178"/>
        <v>0</v>
      </c>
      <c r="AD72" s="799">
        <f t="shared" si="178"/>
        <v>3668710</v>
      </c>
      <c r="AE72" s="803">
        <f t="shared" si="178"/>
        <v>-0.03</v>
      </c>
      <c r="AF72" s="344">
        <f t="shared" si="178"/>
        <v>6.52</v>
      </c>
      <c r="AG72" s="344">
        <f t="shared" si="178"/>
        <v>0</v>
      </c>
      <c r="AH72" s="344">
        <f t="shared" si="178"/>
        <v>0.17</v>
      </c>
      <c r="AI72" s="344">
        <f t="shared" si="178"/>
        <v>0</v>
      </c>
      <c r="AJ72" s="344">
        <f t="shared" si="178"/>
        <v>0</v>
      </c>
      <c r="AK72" s="35">
        <f t="shared" si="178"/>
        <v>6.6599999999999993</v>
      </c>
      <c r="AL72" s="346">
        <f t="shared" si="178"/>
        <v>35500440</v>
      </c>
      <c r="AM72" s="343">
        <f t="shared" si="178"/>
        <v>26314794</v>
      </c>
      <c r="AN72" s="343">
        <f t="shared" si="178"/>
        <v>21000</v>
      </c>
      <c r="AO72" s="343">
        <f t="shared" si="178"/>
        <v>8901499</v>
      </c>
      <c r="AP72" s="343">
        <f t="shared" si="178"/>
        <v>263147</v>
      </c>
      <c r="AQ72" s="343">
        <f t="shared" si="178"/>
        <v>0</v>
      </c>
      <c r="AR72" s="344">
        <f t="shared" si="178"/>
        <v>39.549999999999997</v>
      </c>
    </row>
    <row r="73" spans="1:44" s="152" customFormat="1" x14ac:dyDescent="0.2">
      <c r="A73" s="140">
        <v>16</v>
      </c>
      <c r="B73" s="141">
        <v>4454</v>
      </c>
      <c r="C73" s="141">
        <v>600074811</v>
      </c>
      <c r="D73" s="141">
        <v>48283070</v>
      </c>
      <c r="E73" s="139" t="s">
        <v>170</v>
      </c>
      <c r="F73" s="141">
        <v>3113</v>
      </c>
      <c r="G73" s="117" t="s">
        <v>280</v>
      </c>
      <c r="H73" s="565" t="s">
        <v>262</v>
      </c>
      <c r="I73" s="586">
        <f>SUM(J73:L73)</f>
        <v>31582927</v>
      </c>
      <c r="J73" s="490">
        <v>23429471</v>
      </c>
      <c r="K73" s="55">
        <f t="shared" ref="K73:K76" si="179">ROUND(J73*33.8%,0)</f>
        <v>7919161</v>
      </c>
      <c r="L73" s="55">
        <f t="shared" ref="L73:L76" si="180">ROUND(J73*1%,0)</f>
        <v>234295</v>
      </c>
      <c r="M73" s="55">
        <v>0</v>
      </c>
      <c r="N73" s="631">
        <v>30.14</v>
      </c>
      <c r="O73" s="445">
        <f>V73*-1</f>
        <v>-64224</v>
      </c>
      <c r="P73" s="325">
        <v>0</v>
      </c>
      <c r="Q73" s="325">
        <v>83400</v>
      </c>
      <c r="R73" s="325">
        <v>0</v>
      </c>
      <c r="S73" s="325">
        <v>0</v>
      </c>
      <c r="T73" s="325">
        <v>0</v>
      </c>
      <c r="U73" s="492">
        <f t="shared" ref="U73:U76" si="181">O73+P73+Q73+R73+S73+T73</f>
        <v>19176</v>
      </c>
      <c r="V73" s="325">
        <v>64224</v>
      </c>
      <c r="W73" s="325">
        <v>0</v>
      </c>
      <c r="X73" s="325">
        <v>0</v>
      </c>
      <c r="Y73" s="492">
        <f t="shared" ref="Y73:Y76" si="182">V73+W73+X73</f>
        <v>64224</v>
      </c>
      <c r="Z73" s="492">
        <f t="shared" ref="Z73:Z76" si="183">U73+Y73</f>
        <v>83400</v>
      </c>
      <c r="AA73" s="494">
        <f t="shared" ref="AA73:AA76" si="184">ROUND((U73+Y73)*33.8%,0)</f>
        <v>28189</v>
      </c>
      <c r="AB73" s="494">
        <f t="shared" ref="AB73:AB76" si="185">ROUND(U73*1%,0)</f>
        <v>192</v>
      </c>
      <c r="AC73" s="492">
        <v>0</v>
      </c>
      <c r="AD73" s="789">
        <f t="shared" ref="AD73:AD76" si="186">Z73+AA73+AB73+AC73</f>
        <v>111781</v>
      </c>
      <c r="AE73" s="715">
        <v>-0.11</v>
      </c>
      <c r="AF73" s="326">
        <v>0</v>
      </c>
      <c r="AG73" s="326">
        <v>0</v>
      </c>
      <c r="AH73" s="326">
        <v>0.11</v>
      </c>
      <c r="AI73" s="326">
        <v>0</v>
      </c>
      <c r="AJ73" s="326">
        <v>0</v>
      </c>
      <c r="AK73" s="626">
        <f t="shared" ref="AK73:AK76" si="187">SUM(AE73:AJ73)</f>
        <v>0</v>
      </c>
      <c r="AL73" s="493">
        <f>I73+AD73</f>
        <v>31694708</v>
      </c>
      <c r="AM73" s="492">
        <f>J73+U73</f>
        <v>23448647</v>
      </c>
      <c r="AN73" s="492">
        <f t="shared" ref="AN73:AN76" si="188">Y73</f>
        <v>64224</v>
      </c>
      <c r="AO73" s="492">
        <f t="shared" ref="AO73:AP76" si="189">K73+AA73</f>
        <v>7947350</v>
      </c>
      <c r="AP73" s="492">
        <f t="shared" si="189"/>
        <v>234487</v>
      </c>
      <c r="AQ73" s="492">
        <v>0</v>
      </c>
      <c r="AR73" s="491">
        <f t="shared" ref="AR73:AR76" si="190">N73+AK73</f>
        <v>30.14</v>
      </c>
    </row>
    <row r="74" spans="1:44" s="152" customFormat="1" x14ac:dyDescent="0.2">
      <c r="A74" s="140">
        <v>16</v>
      </c>
      <c r="B74" s="141">
        <v>4454</v>
      </c>
      <c r="C74" s="141">
        <v>600074811</v>
      </c>
      <c r="D74" s="141">
        <v>48283070</v>
      </c>
      <c r="E74" s="139" t="s">
        <v>170</v>
      </c>
      <c r="F74" s="141">
        <v>3113</v>
      </c>
      <c r="G74" s="117" t="s">
        <v>799</v>
      </c>
      <c r="H74" s="565" t="s">
        <v>262</v>
      </c>
      <c r="I74" s="586">
        <f>SUM(J74:L74)</f>
        <v>0</v>
      </c>
      <c r="J74" s="490">
        <v>0</v>
      </c>
      <c r="K74" s="55">
        <f t="shared" si="179"/>
        <v>0</v>
      </c>
      <c r="L74" s="55">
        <f t="shared" si="180"/>
        <v>0</v>
      </c>
      <c r="M74" s="55">
        <v>0</v>
      </c>
      <c r="N74" s="631">
        <v>0</v>
      </c>
      <c r="O74" s="445">
        <f>V74*-1</f>
        <v>0</v>
      </c>
      <c r="P74" s="325">
        <v>0</v>
      </c>
      <c r="Q74" s="325">
        <v>0</v>
      </c>
      <c r="R74" s="325">
        <v>126233</v>
      </c>
      <c r="S74" s="325">
        <v>0</v>
      </c>
      <c r="T74" s="325">
        <v>0</v>
      </c>
      <c r="U74" s="492">
        <f t="shared" si="181"/>
        <v>126233</v>
      </c>
      <c r="V74" s="325">
        <v>0</v>
      </c>
      <c r="W74" s="325">
        <v>0</v>
      </c>
      <c r="X74" s="325">
        <v>0</v>
      </c>
      <c r="Y74" s="492">
        <f t="shared" si="182"/>
        <v>0</v>
      </c>
      <c r="Z74" s="492">
        <f t="shared" si="183"/>
        <v>126233</v>
      </c>
      <c r="AA74" s="494">
        <f t="shared" si="184"/>
        <v>42667</v>
      </c>
      <c r="AB74" s="494">
        <f t="shared" si="185"/>
        <v>1262</v>
      </c>
      <c r="AC74" s="492">
        <v>0</v>
      </c>
      <c r="AD74" s="789">
        <f t="shared" si="186"/>
        <v>170162</v>
      </c>
      <c r="AE74" s="715">
        <v>0</v>
      </c>
      <c r="AF74" s="326">
        <v>0</v>
      </c>
      <c r="AG74" s="326">
        <v>0.23</v>
      </c>
      <c r="AH74" s="326">
        <v>0</v>
      </c>
      <c r="AI74" s="326">
        <v>0</v>
      </c>
      <c r="AJ74" s="326">
        <v>0</v>
      </c>
      <c r="AK74" s="626">
        <f t="shared" si="187"/>
        <v>0.23</v>
      </c>
      <c r="AL74" s="493">
        <f>I74+AD74</f>
        <v>170162</v>
      </c>
      <c r="AM74" s="492">
        <f>J74+U74</f>
        <v>126233</v>
      </c>
      <c r="AN74" s="492">
        <f t="shared" si="188"/>
        <v>0</v>
      </c>
      <c r="AO74" s="492">
        <f t="shared" si="189"/>
        <v>42667</v>
      </c>
      <c r="AP74" s="492">
        <f t="shared" si="189"/>
        <v>1262</v>
      </c>
      <c r="AQ74" s="492">
        <v>0</v>
      </c>
      <c r="AR74" s="491">
        <f t="shared" si="190"/>
        <v>0.23</v>
      </c>
    </row>
    <row r="75" spans="1:44" s="152" customFormat="1" x14ac:dyDescent="0.2">
      <c r="A75" s="140">
        <v>16</v>
      </c>
      <c r="B75" s="141">
        <v>4454</v>
      </c>
      <c r="C75" s="141">
        <v>600074811</v>
      </c>
      <c r="D75" s="141">
        <v>48283070</v>
      </c>
      <c r="E75" s="139" t="s">
        <v>170</v>
      </c>
      <c r="F75" s="141">
        <v>3113</v>
      </c>
      <c r="G75" s="117" t="s">
        <v>278</v>
      </c>
      <c r="H75" s="565" t="s">
        <v>263</v>
      </c>
      <c r="I75" s="586">
        <f>SUM(J75:L75)</f>
        <v>0</v>
      </c>
      <c r="J75" s="490">
        <v>0</v>
      </c>
      <c r="K75" s="55">
        <f t="shared" si="179"/>
        <v>0</v>
      </c>
      <c r="L75" s="55">
        <f t="shared" si="180"/>
        <v>0</v>
      </c>
      <c r="M75" s="55">
        <v>0</v>
      </c>
      <c r="N75" s="631">
        <v>0</v>
      </c>
      <c r="O75" s="440">
        <f>V75*-1</f>
        <v>0</v>
      </c>
      <c r="P75" s="325">
        <f>3803295-198424</f>
        <v>3604871</v>
      </c>
      <c r="Q75" s="325">
        <v>0</v>
      </c>
      <c r="R75" s="325">
        <v>0</v>
      </c>
      <c r="S75" s="325">
        <v>0</v>
      </c>
      <c r="T75" s="325">
        <v>0</v>
      </c>
      <c r="U75" s="492">
        <f t="shared" si="181"/>
        <v>3604871</v>
      </c>
      <c r="V75" s="325">
        <v>0</v>
      </c>
      <c r="W75" s="325">
        <v>0</v>
      </c>
      <c r="X75" s="325">
        <v>0</v>
      </c>
      <c r="Y75" s="492">
        <f t="shared" si="182"/>
        <v>0</v>
      </c>
      <c r="Z75" s="492">
        <f t="shared" si="183"/>
        <v>3604871</v>
      </c>
      <c r="AA75" s="494">
        <f t="shared" si="184"/>
        <v>1218446</v>
      </c>
      <c r="AB75" s="494">
        <f t="shared" si="185"/>
        <v>36049</v>
      </c>
      <c r="AC75" s="492">
        <v>0</v>
      </c>
      <c r="AD75" s="789">
        <f t="shared" si="186"/>
        <v>4859366</v>
      </c>
      <c r="AE75" s="715">
        <v>0</v>
      </c>
      <c r="AF75" s="326">
        <f>9.5-0.5</f>
        <v>9</v>
      </c>
      <c r="AG75" s="326">
        <v>0</v>
      </c>
      <c r="AH75" s="326">
        <v>0</v>
      </c>
      <c r="AI75" s="326">
        <v>0</v>
      </c>
      <c r="AJ75" s="326">
        <v>0</v>
      </c>
      <c r="AK75" s="626">
        <f t="shared" si="187"/>
        <v>9</v>
      </c>
      <c r="AL75" s="493">
        <f>I75+AD75</f>
        <v>4859366</v>
      </c>
      <c r="AM75" s="492">
        <f>J75+U75</f>
        <v>3604871</v>
      </c>
      <c r="AN75" s="492">
        <f t="shared" si="188"/>
        <v>0</v>
      </c>
      <c r="AO75" s="492">
        <f t="shared" si="189"/>
        <v>1218446</v>
      </c>
      <c r="AP75" s="492">
        <f t="shared" si="189"/>
        <v>36049</v>
      </c>
      <c r="AQ75" s="492">
        <v>0</v>
      </c>
      <c r="AR75" s="491">
        <f t="shared" si="190"/>
        <v>9</v>
      </c>
    </row>
    <row r="76" spans="1:44" s="152" customFormat="1" x14ac:dyDescent="0.2">
      <c r="A76" s="140">
        <v>16</v>
      </c>
      <c r="B76" s="141">
        <v>4454</v>
      </c>
      <c r="C76" s="141">
        <v>600074811</v>
      </c>
      <c r="D76" s="141">
        <v>48283070</v>
      </c>
      <c r="E76" s="135" t="s">
        <v>170</v>
      </c>
      <c r="F76" s="141">
        <v>3143</v>
      </c>
      <c r="G76" s="117" t="s">
        <v>794</v>
      </c>
      <c r="H76" s="157" t="s">
        <v>262</v>
      </c>
      <c r="I76" s="586">
        <f>SUM(J76:L76)</f>
        <v>3571415</v>
      </c>
      <c r="J76" s="490">
        <v>2649418</v>
      </c>
      <c r="K76" s="55">
        <f t="shared" si="179"/>
        <v>895503</v>
      </c>
      <c r="L76" s="55">
        <f t="shared" si="180"/>
        <v>26494</v>
      </c>
      <c r="M76" s="55">
        <v>0</v>
      </c>
      <c r="N76" s="631">
        <v>4.71</v>
      </c>
      <c r="O76" s="440">
        <f>V76*-1</f>
        <v>-12000</v>
      </c>
      <c r="P76" s="325">
        <v>0</v>
      </c>
      <c r="Q76" s="325">
        <v>0</v>
      </c>
      <c r="R76" s="325">
        <v>0</v>
      </c>
      <c r="S76" s="325">
        <v>0</v>
      </c>
      <c r="T76" s="325">
        <v>0</v>
      </c>
      <c r="U76" s="492">
        <f t="shared" si="181"/>
        <v>-12000</v>
      </c>
      <c r="V76" s="325">
        <v>12000</v>
      </c>
      <c r="W76" s="325">
        <v>0</v>
      </c>
      <c r="X76" s="325">
        <v>0</v>
      </c>
      <c r="Y76" s="492">
        <f t="shared" si="182"/>
        <v>12000</v>
      </c>
      <c r="Z76" s="492">
        <f t="shared" si="183"/>
        <v>0</v>
      </c>
      <c r="AA76" s="494">
        <f t="shared" si="184"/>
        <v>0</v>
      </c>
      <c r="AB76" s="494">
        <f t="shared" si="185"/>
        <v>-120</v>
      </c>
      <c r="AC76" s="492">
        <v>0</v>
      </c>
      <c r="AD76" s="789">
        <f t="shared" si="186"/>
        <v>-120</v>
      </c>
      <c r="AE76" s="715">
        <v>-0.01</v>
      </c>
      <c r="AF76" s="326">
        <v>0</v>
      </c>
      <c r="AG76" s="326">
        <v>0</v>
      </c>
      <c r="AH76" s="326">
        <v>0</v>
      </c>
      <c r="AI76" s="326">
        <v>0</v>
      </c>
      <c r="AJ76" s="326">
        <v>0</v>
      </c>
      <c r="AK76" s="626">
        <f t="shared" si="187"/>
        <v>-0.01</v>
      </c>
      <c r="AL76" s="493">
        <f>I76+AD76</f>
        <v>3571295</v>
      </c>
      <c r="AM76" s="492">
        <f>J76+U76</f>
        <v>2637418</v>
      </c>
      <c r="AN76" s="492">
        <f t="shared" si="188"/>
        <v>12000</v>
      </c>
      <c r="AO76" s="492">
        <f t="shared" si="189"/>
        <v>895503</v>
      </c>
      <c r="AP76" s="492">
        <f t="shared" si="189"/>
        <v>26374</v>
      </c>
      <c r="AQ76" s="492">
        <v>0</v>
      </c>
      <c r="AR76" s="491">
        <f t="shared" si="190"/>
        <v>4.7</v>
      </c>
    </row>
    <row r="77" spans="1:44" s="152" customFormat="1" x14ac:dyDescent="0.2">
      <c r="A77" s="107">
        <v>16</v>
      </c>
      <c r="B77" s="15">
        <v>4454</v>
      </c>
      <c r="C77" s="15">
        <v>600074811</v>
      </c>
      <c r="D77" s="15">
        <v>48283070</v>
      </c>
      <c r="E77" s="116" t="s">
        <v>171</v>
      </c>
      <c r="F77" s="15"/>
      <c r="G77" s="106"/>
      <c r="H77" s="560"/>
      <c r="I77" s="794">
        <f t="shared" ref="I77:AR77" si="191">SUM(I73:I76)</f>
        <v>35154342</v>
      </c>
      <c r="J77" s="343">
        <f t="shared" si="191"/>
        <v>26078889</v>
      </c>
      <c r="K77" s="343">
        <f t="shared" si="191"/>
        <v>8814664</v>
      </c>
      <c r="L77" s="343">
        <f t="shared" si="191"/>
        <v>260789</v>
      </c>
      <c r="M77" s="343">
        <f t="shared" si="191"/>
        <v>0</v>
      </c>
      <c r="N77" s="35">
        <f t="shared" si="191"/>
        <v>34.85</v>
      </c>
      <c r="O77" s="346">
        <f t="shared" si="191"/>
        <v>-76224</v>
      </c>
      <c r="P77" s="343">
        <f t="shared" si="191"/>
        <v>3604871</v>
      </c>
      <c r="Q77" s="343">
        <f t="shared" si="191"/>
        <v>83400</v>
      </c>
      <c r="R77" s="343">
        <f t="shared" si="191"/>
        <v>126233</v>
      </c>
      <c r="S77" s="343">
        <f t="shared" si="191"/>
        <v>0</v>
      </c>
      <c r="T77" s="343">
        <f t="shared" si="191"/>
        <v>0</v>
      </c>
      <c r="U77" s="343">
        <f t="shared" si="191"/>
        <v>3738280</v>
      </c>
      <c r="V77" s="343">
        <f t="shared" si="191"/>
        <v>76224</v>
      </c>
      <c r="W77" s="343">
        <f t="shared" si="191"/>
        <v>0</v>
      </c>
      <c r="X77" s="343">
        <f t="shared" si="191"/>
        <v>0</v>
      </c>
      <c r="Y77" s="343">
        <f t="shared" si="191"/>
        <v>76224</v>
      </c>
      <c r="Z77" s="343">
        <f t="shared" si="191"/>
        <v>3814504</v>
      </c>
      <c r="AA77" s="343">
        <f t="shared" si="191"/>
        <v>1289302</v>
      </c>
      <c r="AB77" s="343">
        <f t="shared" si="191"/>
        <v>37383</v>
      </c>
      <c r="AC77" s="343">
        <f t="shared" si="191"/>
        <v>0</v>
      </c>
      <c r="AD77" s="799">
        <f t="shared" si="191"/>
        <v>5141189</v>
      </c>
      <c r="AE77" s="803">
        <f t="shared" si="191"/>
        <v>-0.12</v>
      </c>
      <c r="AF77" s="344">
        <f t="shared" si="191"/>
        <v>9</v>
      </c>
      <c r="AG77" s="344">
        <f t="shared" si="191"/>
        <v>0.23</v>
      </c>
      <c r="AH77" s="344">
        <f t="shared" si="191"/>
        <v>0.11</v>
      </c>
      <c r="AI77" s="344">
        <f t="shared" si="191"/>
        <v>0</v>
      </c>
      <c r="AJ77" s="344">
        <f t="shared" si="191"/>
        <v>0</v>
      </c>
      <c r="AK77" s="35">
        <f t="shared" si="191"/>
        <v>9.2200000000000006</v>
      </c>
      <c r="AL77" s="346">
        <f t="shared" si="191"/>
        <v>40295531</v>
      </c>
      <c r="AM77" s="343">
        <f t="shared" si="191"/>
        <v>29817169</v>
      </c>
      <c r="AN77" s="343">
        <f t="shared" si="191"/>
        <v>76224</v>
      </c>
      <c r="AO77" s="343">
        <f t="shared" si="191"/>
        <v>10103966</v>
      </c>
      <c r="AP77" s="343">
        <f t="shared" si="191"/>
        <v>298172</v>
      </c>
      <c r="AQ77" s="343">
        <f t="shared" si="191"/>
        <v>0</v>
      </c>
      <c r="AR77" s="344">
        <f t="shared" si="191"/>
        <v>44.070000000000007</v>
      </c>
    </row>
    <row r="78" spans="1:44" s="152" customFormat="1" x14ac:dyDescent="0.2">
      <c r="A78" s="140">
        <v>17</v>
      </c>
      <c r="B78" s="141">
        <v>4479</v>
      </c>
      <c r="C78" s="141">
        <v>600075150</v>
      </c>
      <c r="D78" s="141">
        <v>70982228</v>
      </c>
      <c r="E78" s="139" t="s">
        <v>172</v>
      </c>
      <c r="F78" s="141">
        <v>3111</v>
      </c>
      <c r="G78" s="117" t="s">
        <v>277</v>
      </c>
      <c r="H78" s="565" t="s">
        <v>262</v>
      </c>
      <c r="I78" s="586">
        <f t="shared" ref="I78:I86" si="192">SUM(J78:L78)</f>
        <v>3357729</v>
      </c>
      <c r="J78" s="490">
        <v>2490897</v>
      </c>
      <c r="K78" s="55">
        <f t="shared" ref="K78:K86" si="193">ROUND(J78*33.8%,0)</f>
        <v>841923</v>
      </c>
      <c r="L78" s="55">
        <f t="shared" ref="L78:L86" si="194">ROUND(J78*1%,0)</f>
        <v>24909</v>
      </c>
      <c r="M78" s="55">
        <v>0</v>
      </c>
      <c r="N78" s="631">
        <v>4</v>
      </c>
      <c r="O78" s="445">
        <f t="shared" ref="O78:O86" si="195">V78*-1</f>
        <v>0</v>
      </c>
      <c r="P78" s="325">
        <v>0</v>
      </c>
      <c r="Q78" s="325">
        <v>0</v>
      </c>
      <c r="R78" s="325">
        <v>0</v>
      </c>
      <c r="S78" s="325">
        <v>0</v>
      </c>
      <c r="T78" s="325">
        <v>0</v>
      </c>
      <c r="U78" s="492">
        <f t="shared" ref="U78:U86" si="196">O78+P78+Q78+R78+S78+T78</f>
        <v>0</v>
      </c>
      <c r="V78" s="325">
        <v>0</v>
      </c>
      <c r="W78" s="325">
        <v>0</v>
      </c>
      <c r="X78" s="325">
        <v>0</v>
      </c>
      <c r="Y78" s="492">
        <f t="shared" ref="Y78:Y86" si="197">V78+W78+X78</f>
        <v>0</v>
      </c>
      <c r="Z78" s="492">
        <f t="shared" ref="Z78:Z86" si="198">U78+Y78</f>
        <v>0</v>
      </c>
      <c r="AA78" s="494">
        <f t="shared" ref="AA78:AA86" si="199">ROUND((U78+Y78)*33.8%,0)</f>
        <v>0</v>
      </c>
      <c r="AB78" s="494">
        <f t="shared" ref="AB78:AB86" si="200">ROUND(U78*1%,0)</f>
        <v>0</v>
      </c>
      <c r="AC78" s="492">
        <v>0</v>
      </c>
      <c r="AD78" s="789">
        <f t="shared" ref="AD78:AD86" si="201">Z78+AA78+AB78+AC78</f>
        <v>0</v>
      </c>
      <c r="AE78" s="715">
        <v>0</v>
      </c>
      <c r="AF78" s="326">
        <v>0</v>
      </c>
      <c r="AG78" s="326">
        <v>0</v>
      </c>
      <c r="AH78" s="326">
        <v>0</v>
      </c>
      <c r="AI78" s="326">
        <v>0</v>
      </c>
      <c r="AJ78" s="326">
        <v>0</v>
      </c>
      <c r="AK78" s="626">
        <f t="shared" ref="AK78:AK86" si="202">SUM(AE78:AJ78)</f>
        <v>0</v>
      </c>
      <c r="AL78" s="493">
        <f t="shared" ref="AL78:AL86" si="203">I78+AD78</f>
        <v>3357729</v>
      </c>
      <c r="AM78" s="492">
        <f t="shared" ref="AM78:AM86" si="204">J78+U78</f>
        <v>2490897</v>
      </c>
      <c r="AN78" s="492">
        <f t="shared" ref="AN78:AN86" si="205">Y78</f>
        <v>0</v>
      </c>
      <c r="AO78" s="492">
        <f t="shared" ref="AO78:AP86" si="206">K78+AA78</f>
        <v>841923</v>
      </c>
      <c r="AP78" s="492">
        <f t="shared" si="206"/>
        <v>24909</v>
      </c>
      <c r="AQ78" s="492">
        <v>0</v>
      </c>
      <c r="AR78" s="491">
        <f t="shared" ref="AR78:AR86" si="207">N78+AK78</f>
        <v>4</v>
      </c>
    </row>
    <row r="79" spans="1:44" s="152" customFormat="1" x14ac:dyDescent="0.2">
      <c r="A79" s="140">
        <v>17</v>
      </c>
      <c r="B79" s="141">
        <v>4479</v>
      </c>
      <c r="C79" s="141">
        <v>600075150</v>
      </c>
      <c r="D79" s="141">
        <v>70982228</v>
      </c>
      <c r="E79" s="139" t="s">
        <v>172</v>
      </c>
      <c r="F79" s="141">
        <v>3111</v>
      </c>
      <c r="G79" s="117" t="s">
        <v>279</v>
      </c>
      <c r="H79" s="565" t="s">
        <v>262</v>
      </c>
      <c r="I79" s="586">
        <f t="shared" si="192"/>
        <v>582158</v>
      </c>
      <c r="J79" s="490">
        <v>431868</v>
      </c>
      <c r="K79" s="55">
        <f t="shared" si="193"/>
        <v>145971</v>
      </c>
      <c r="L79" s="55">
        <f t="shared" si="194"/>
        <v>4319</v>
      </c>
      <c r="M79" s="55">
        <v>0</v>
      </c>
      <c r="N79" s="631">
        <v>1</v>
      </c>
      <c r="O79" s="440">
        <f t="shared" si="195"/>
        <v>0</v>
      </c>
      <c r="P79" s="325">
        <v>0</v>
      </c>
      <c r="Q79" s="325">
        <v>0</v>
      </c>
      <c r="R79" s="325">
        <v>0</v>
      </c>
      <c r="S79" s="325">
        <v>0</v>
      </c>
      <c r="T79" s="325">
        <v>0</v>
      </c>
      <c r="U79" s="492">
        <f t="shared" si="196"/>
        <v>0</v>
      </c>
      <c r="V79" s="325">
        <v>0</v>
      </c>
      <c r="W79" s="325">
        <v>0</v>
      </c>
      <c r="X79" s="325">
        <v>0</v>
      </c>
      <c r="Y79" s="492">
        <f t="shared" si="197"/>
        <v>0</v>
      </c>
      <c r="Z79" s="492">
        <f t="shared" si="198"/>
        <v>0</v>
      </c>
      <c r="AA79" s="494">
        <f t="shared" si="199"/>
        <v>0</v>
      </c>
      <c r="AB79" s="494">
        <f t="shared" si="200"/>
        <v>0</v>
      </c>
      <c r="AC79" s="492">
        <v>0</v>
      </c>
      <c r="AD79" s="789">
        <f t="shared" si="201"/>
        <v>0</v>
      </c>
      <c r="AE79" s="715">
        <v>0</v>
      </c>
      <c r="AF79" s="326">
        <v>0</v>
      </c>
      <c r="AG79" s="326">
        <v>0</v>
      </c>
      <c r="AH79" s="326">
        <v>0</v>
      </c>
      <c r="AI79" s="326">
        <v>0</v>
      </c>
      <c r="AJ79" s="326">
        <v>0</v>
      </c>
      <c r="AK79" s="626">
        <f t="shared" si="202"/>
        <v>0</v>
      </c>
      <c r="AL79" s="493">
        <f t="shared" si="203"/>
        <v>582158</v>
      </c>
      <c r="AM79" s="492">
        <f t="shared" si="204"/>
        <v>431868</v>
      </c>
      <c r="AN79" s="492">
        <f t="shared" si="205"/>
        <v>0</v>
      </c>
      <c r="AO79" s="492">
        <f t="shared" si="206"/>
        <v>145971</v>
      </c>
      <c r="AP79" s="492">
        <f t="shared" si="206"/>
        <v>4319</v>
      </c>
      <c r="AQ79" s="492">
        <v>0</v>
      </c>
      <c r="AR79" s="491">
        <f t="shared" si="207"/>
        <v>1</v>
      </c>
    </row>
    <row r="80" spans="1:44" s="152" customFormat="1" x14ac:dyDescent="0.2">
      <c r="A80" s="140">
        <v>17</v>
      </c>
      <c r="B80" s="141">
        <v>4479</v>
      </c>
      <c r="C80" s="141">
        <v>600075150</v>
      </c>
      <c r="D80" s="141">
        <v>70982228</v>
      </c>
      <c r="E80" s="139" t="s">
        <v>172</v>
      </c>
      <c r="F80" s="141">
        <v>3114</v>
      </c>
      <c r="G80" s="117" t="s">
        <v>511</v>
      </c>
      <c r="H80" s="565" t="s">
        <v>262</v>
      </c>
      <c r="I80" s="586">
        <f t="shared" si="192"/>
        <v>37925189</v>
      </c>
      <c r="J80" s="490">
        <v>28134413</v>
      </c>
      <c r="K80" s="55">
        <f t="shared" si="193"/>
        <v>9509432</v>
      </c>
      <c r="L80" s="55">
        <f t="shared" si="194"/>
        <v>281344</v>
      </c>
      <c r="M80" s="55">
        <v>0</v>
      </c>
      <c r="N80" s="631">
        <v>36</v>
      </c>
      <c r="O80" s="440">
        <f t="shared" si="195"/>
        <v>0</v>
      </c>
      <c r="P80" s="325">
        <v>0</v>
      </c>
      <c r="Q80" s="325">
        <v>0</v>
      </c>
      <c r="R80" s="325">
        <v>0</v>
      </c>
      <c r="S80" s="325">
        <v>0</v>
      </c>
      <c r="T80" s="325">
        <v>43933</v>
      </c>
      <c r="U80" s="492">
        <f t="shared" si="196"/>
        <v>43933</v>
      </c>
      <c r="V80" s="325">
        <v>0</v>
      </c>
      <c r="W80" s="325">
        <v>0</v>
      </c>
      <c r="X80" s="325">
        <v>0</v>
      </c>
      <c r="Y80" s="492">
        <f t="shared" si="197"/>
        <v>0</v>
      </c>
      <c r="Z80" s="492">
        <f t="shared" si="198"/>
        <v>43933</v>
      </c>
      <c r="AA80" s="494">
        <f t="shared" si="199"/>
        <v>14849</v>
      </c>
      <c r="AB80" s="494">
        <f t="shared" si="200"/>
        <v>439</v>
      </c>
      <c r="AC80" s="492">
        <v>0</v>
      </c>
      <c r="AD80" s="789">
        <f t="shared" si="201"/>
        <v>59221</v>
      </c>
      <c r="AE80" s="715">
        <v>0</v>
      </c>
      <c r="AF80" s="326">
        <v>0</v>
      </c>
      <c r="AG80" s="326">
        <v>0</v>
      </c>
      <c r="AH80" s="326">
        <v>0</v>
      </c>
      <c r="AI80" s="326">
        <v>0</v>
      </c>
      <c r="AJ80" s="326">
        <v>0.09</v>
      </c>
      <c r="AK80" s="626">
        <f t="shared" si="202"/>
        <v>0.09</v>
      </c>
      <c r="AL80" s="493">
        <f t="shared" si="203"/>
        <v>37984410</v>
      </c>
      <c r="AM80" s="492">
        <f t="shared" si="204"/>
        <v>28178346</v>
      </c>
      <c r="AN80" s="492">
        <f t="shared" si="205"/>
        <v>0</v>
      </c>
      <c r="AO80" s="492">
        <f t="shared" si="206"/>
        <v>9524281</v>
      </c>
      <c r="AP80" s="492">
        <f t="shared" si="206"/>
        <v>281783</v>
      </c>
      <c r="AQ80" s="492">
        <v>0</v>
      </c>
      <c r="AR80" s="491">
        <f t="shared" si="207"/>
        <v>36.090000000000003</v>
      </c>
    </row>
    <row r="81" spans="1:44" s="152" customFormat="1" x14ac:dyDescent="0.2">
      <c r="A81" s="140">
        <v>17</v>
      </c>
      <c r="B81" s="141">
        <v>4479</v>
      </c>
      <c r="C81" s="141">
        <v>600075150</v>
      </c>
      <c r="D81" s="141">
        <v>70982228</v>
      </c>
      <c r="E81" s="139" t="s">
        <v>172</v>
      </c>
      <c r="F81" s="141">
        <v>3114</v>
      </c>
      <c r="G81" s="117" t="s">
        <v>279</v>
      </c>
      <c r="H81" s="565" t="s">
        <v>262</v>
      </c>
      <c r="I81" s="586">
        <f t="shared" si="192"/>
        <v>11665632</v>
      </c>
      <c r="J81" s="490">
        <v>8654030</v>
      </c>
      <c r="K81" s="55">
        <f t="shared" si="193"/>
        <v>2925062</v>
      </c>
      <c r="L81" s="55">
        <f t="shared" si="194"/>
        <v>86540</v>
      </c>
      <c r="M81" s="55">
        <v>0</v>
      </c>
      <c r="N81" s="631">
        <v>20.149999999999999</v>
      </c>
      <c r="O81" s="440">
        <f t="shared" si="195"/>
        <v>0</v>
      </c>
      <c r="P81" s="325">
        <v>0</v>
      </c>
      <c r="Q81" s="325">
        <v>0</v>
      </c>
      <c r="R81" s="325">
        <v>0</v>
      </c>
      <c r="S81" s="325">
        <v>0</v>
      </c>
      <c r="T81" s="325">
        <v>0</v>
      </c>
      <c r="U81" s="492">
        <f t="shared" si="196"/>
        <v>0</v>
      </c>
      <c r="V81" s="325">
        <v>0</v>
      </c>
      <c r="W81" s="325">
        <v>0</v>
      </c>
      <c r="X81" s="325">
        <v>0</v>
      </c>
      <c r="Y81" s="492">
        <f t="shared" si="197"/>
        <v>0</v>
      </c>
      <c r="Z81" s="492">
        <f t="shared" si="198"/>
        <v>0</v>
      </c>
      <c r="AA81" s="494">
        <f t="shared" si="199"/>
        <v>0</v>
      </c>
      <c r="AB81" s="494">
        <f t="shared" si="200"/>
        <v>0</v>
      </c>
      <c r="AC81" s="492">
        <v>0</v>
      </c>
      <c r="AD81" s="789">
        <f t="shared" si="201"/>
        <v>0</v>
      </c>
      <c r="AE81" s="715">
        <v>0</v>
      </c>
      <c r="AF81" s="326">
        <v>0</v>
      </c>
      <c r="AG81" s="326">
        <v>0</v>
      </c>
      <c r="AH81" s="326">
        <v>0</v>
      </c>
      <c r="AI81" s="326">
        <v>0</v>
      </c>
      <c r="AJ81" s="326">
        <v>0</v>
      </c>
      <c r="AK81" s="626">
        <f t="shared" si="202"/>
        <v>0</v>
      </c>
      <c r="AL81" s="493">
        <f t="shared" si="203"/>
        <v>11665632</v>
      </c>
      <c r="AM81" s="492">
        <f t="shared" si="204"/>
        <v>8654030</v>
      </c>
      <c r="AN81" s="492">
        <f t="shared" si="205"/>
        <v>0</v>
      </c>
      <c r="AO81" s="492">
        <f t="shared" si="206"/>
        <v>2925062</v>
      </c>
      <c r="AP81" s="492">
        <f t="shared" si="206"/>
        <v>86540</v>
      </c>
      <c r="AQ81" s="492">
        <v>0</v>
      </c>
      <c r="AR81" s="491">
        <f t="shared" si="207"/>
        <v>20.149999999999999</v>
      </c>
    </row>
    <row r="82" spans="1:44" s="152" customFormat="1" x14ac:dyDescent="0.2">
      <c r="A82" s="140">
        <v>17</v>
      </c>
      <c r="B82" s="141">
        <v>4479</v>
      </c>
      <c r="C82" s="141">
        <v>600075150</v>
      </c>
      <c r="D82" s="141">
        <v>70982228</v>
      </c>
      <c r="E82" s="139" t="s">
        <v>172</v>
      </c>
      <c r="F82" s="141">
        <v>3114</v>
      </c>
      <c r="G82" s="117" t="s">
        <v>278</v>
      </c>
      <c r="H82" s="565" t="s">
        <v>263</v>
      </c>
      <c r="I82" s="586">
        <f t="shared" si="192"/>
        <v>0</v>
      </c>
      <c r="J82" s="490">
        <v>0</v>
      </c>
      <c r="K82" s="55">
        <f t="shared" si="193"/>
        <v>0</v>
      </c>
      <c r="L82" s="55">
        <f t="shared" si="194"/>
        <v>0</v>
      </c>
      <c r="M82" s="55">
        <v>0</v>
      </c>
      <c r="N82" s="631">
        <v>0</v>
      </c>
      <c r="O82" s="440">
        <f t="shared" si="195"/>
        <v>0</v>
      </c>
      <c r="P82" s="325">
        <v>242829</v>
      </c>
      <c r="Q82" s="325">
        <v>0</v>
      </c>
      <c r="R82" s="325">
        <v>0</v>
      </c>
      <c r="S82" s="325">
        <v>0</v>
      </c>
      <c r="T82" s="325">
        <v>0</v>
      </c>
      <c r="U82" s="492">
        <f t="shared" si="196"/>
        <v>242829</v>
      </c>
      <c r="V82" s="325">
        <v>0</v>
      </c>
      <c r="W82" s="325">
        <v>0</v>
      </c>
      <c r="X82" s="325">
        <v>0</v>
      </c>
      <c r="Y82" s="492">
        <f t="shared" si="197"/>
        <v>0</v>
      </c>
      <c r="Z82" s="492">
        <f t="shared" si="198"/>
        <v>242829</v>
      </c>
      <c r="AA82" s="494">
        <f t="shared" si="199"/>
        <v>82076</v>
      </c>
      <c r="AB82" s="494">
        <f t="shared" si="200"/>
        <v>2428</v>
      </c>
      <c r="AC82" s="492">
        <v>0</v>
      </c>
      <c r="AD82" s="789">
        <f t="shared" si="201"/>
        <v>327333</v>
      </c>
      <c r="AE82" s="715">
        <v>0</v>
      </c>
      <c r="AF82" s="326">
        <v>0.46</v>
      </c>
      <c r="AG82" s="326">
        <v>0</v>
      </c>
      <c r="AH82" s="326">
        <v>0</v>
      </c>
      <c r="AI82" s="326">
        <v>0</v>
      </c>
      <c r="AJ82" s="326">
        <v>0</v>
      </c>
      <c r="AK82" s="626">
        <f t="shared" si="202"/>
        <v>0.46</v>
      </c>
      <c r="AL82" s="493">
        <f t="shared" si="203"/>
        <v>327333</v>
      </c>
      <c r="AM82" s="492">
        <f t="shared" si="204"/>
        <v>242829</v>
      </c>
      <c r="AN82" s="492">
        <f t="shared" si="205"/>
        <v>0</v>
      </c>
      <c r="AO82" s="492">
        <f t="shared" si="206"/>
        <v>82076</v>
      </c>
      <c r="AP82" s="492">
        <f t="shared" si="206"/>
        <v>2428</v>
      </c>
      <c r="AQ82" s="492">
        <v>0</v>
      </c>
      <c r="AR82" s="491">
        <f t="shared" si="207"/>
        <v>0.46</v>
      </c>
    </row>
    <row r="83" spans="1:44" s="152" customFormat="1" x14ac:dyDescent="0.2">
      <c r="A83" s="140">
        <v>17</v>
      </c>
      <c r="B83" s="141">
        <v>4479</v>
      </c>
      <c r="C83" s="141">
        <v>600075150</v>
      </c>
      <c r="D83" s="141">
        <v>70982228</v>
      </c>
      <c r="E83" s="139" t="s">
        <v>172</v>
      </c>
      <c r="F83" s="141">
        <v>3124</v>
      </c>
      <c r="G83" s="117" t="s">
        <v>285</v>
      </c>
      <c r="H83" s="565" t="s">
        <v>262</v>
      </c>
      <c r="I83" s="586">
        <f t="shared" si="192"/>
        <v>3762981</v>
      </c>
      <c r="J83" s="490">
        <v>2791529</v>
      </c>
      <c r="K83" s="55">
        <f t="shared" si="193"/>
        <v>943537</v>
      </c>
      <c r="L83" s="55">
        <f t="shared" si="194"/>
        <v>27915</v>
      </c>
      <c r="M83" s="55">
        <v>0</v>
      </c>
      <c r="N83" s="631">
        <v>3.43</v>
      </c>
      <c r="O83" s="440">
        <f t="shared" si="195"/>
        <v>0</v>
      </c>
      <c r="P83" s="325">
        <v>0</v>
      </c>
      <c r="Q83" s="325">
        <v>0</v>
      </c>
      <c r="R83" s="325">
        <v>0</v>
      </c>
      <c r="S83" s="325">
        <v>0</v>
      </c>
      <c r="T83" s="325">
        <v>0</v>
      </c>
      <c r="U83" s="492">
        <f t="shared" si="196"/>
        <v>0</v>
      </c>
      <c r="V83" s="325">
        <v>0</v>
      </c>
      <c r="W83" s="325">
        <v>0</v>
      </c>
      <c r="X83" s="325">
        <v>0</v>
      </c>
      <c r="Y83" s="492">
        <f t="shared" si="197"/>
        <v>0</v>
      </c>
      <c r="Z83" s="492">
        <f t="shared" si="198"/>
        <v>0</v>
      </c>
      <c r="AA83" s="494">
        <f t="shared" si="199"/>
        <v>0</v>
      </c>
      <c r="AB83" s="494">
        <f t="shared" si="200"/>
        <v>0</v>
      </c>
      <c r="AC83" s="492">
        <v>0</v>
      </c>
      <c r="AD83" s="789">
        <f t="shared" si="201"/>
        <v>0</v>
      </c>
      <c r="AE83" s="715">
        <v>0</v>
      </c>
      <c r="AF83" s="326">
        <v>0</v>
      </c>
      <c r="AG83" s="326">
        <v>0</v>
      </c>
      <c r="AH83" s="326">
        <v>0</v>
      </c>
      <c r="AI83" s="326">
        <v>0</v>
      </c>
      <c r="AJ83" s="326">
        <v>0</v>
      </c>
      <c r="AK83" s="626">
        <f t="shared" si="202"/>
        <v>0</v>
      </c>
      <c r="AL83" s="493">
        <f t="shared" si="203"/>
        <v>3762981</v>
      </c>
      <c r="AM83" s="492">
        <f t="shared" si="204"/>
        <v>2791529</v>
      </c>
      <c r="AN83" s="492">
        <f t="shared" si="205"/>
        <v>0</v>
      </c>
      <c r="AO83" s="492">
        <f t="shared" si="206"/>
        <v>943537</v>
      </c>
      <c r="AP83" s="492">
        <f t="shared" si="206"/>
        <v>27915</v>
      </c>
      <c r="AQ83" s="492">
        <v>0</v>
      </c>
      <c r="AR83" s="491">
        <f t="shared" si="207"/>
        <v>3.43</v>
      </c>
    </row>
    <row r="84" spans="1:44" s="152" customFormat="1" x14ac:dyDescent="0.2">
      <c r="A84" s="140">
        <v>17</v>
      </c>
      <c r="B84" s="141">
        <v>4479</v>
      </c>
      <c r="C84" s="141">
        <v>600075150</v>
      </c>
      <c r="D84" s="141">
        <v>70982228</v>
      </c>
      <c r="E84" s="139" t="s">
        <v>172</v>
      </c>
      <c r="F84" s="141">
        <v>3124</v>
      </c>
      <c r="G84" s="117" t="s">
        <v>286</v>
      </c>
      <c r="H84" s="565" t="s">
        <v>262</v>
      </c>
      <c r="I84" s="586">
        <f t="shared" si="192"/>
        <v>833435</v>
      </c>
      <c r="J84" s="490">
        <v>618275</v>
      </c>
      <c r="K84" s="55">
        <f t="shared" si="193"/>
        <v>208977</v>
      </c>
      <c r="L84" s="55">
        <f t="shared" si="194"/>
        <v>6183</v>
      </c>
      <c r="M84" s="55">
        <v>0</v>
      </c>
      <c r="N84" s="631">
        <v>1.78</v>
      </c>
      <c r="O84" s="440">
        <f t="shared" si="195"/>
        <v>0</v>
      </c>
      <c r="P84" s="325">
        <v>0</v>
      </c>
      <c r="Q84" s="325">
        <v>0</v>
      </c>
      <c r="R84" s="325">
        <v>0</v>
      </c>
      <c r="S84" s="325">
        <v>0</v>
      </c>
      <c r="T84" s="325">
        <v>0</v>
      </c>
      <c r="U84" s="492">
        <f t="shared" si="196"/>
        <v>0</v>
      </c>
      <c r="V84" s="325">
        <v>0</v>
      </c>
      <c r="W84" s="325">
        <v>0</v>
      </c>
      <c r="X84" s="325">
        <v>0</v>
      </c>
      <c r="Y84" s="492">
        <f t="shared" si="197"/>
        <v>0</v>
      </c>
      <c r="Z84" s="492">
        <f t="shared" si="198"/>
        <v>0</v>
      </c>
      <c r="AA84" s="494">
        <f t="shared" si="199"/>
        <v>0</v>
      </c>
      <c r="AB84" s="494">
        <f t="shared" si="200"/>
        <v>0</v>
      </c>
      <c r="AC84" s="492">
        <v>0</v>
      </c>
      <c r="AD84" s="789">
        <f t="shared" si="201"/>
        <v>0</v>
      </c>
      <c r="AE84" s="715">
        <v>0</v>
      </c>
      <c r="AF84" s="326">
        <v>0</v>
      </c>
      <c r="AG84" s="326">
        <v>0</v>
      </c>
      <c r="AH84" s="326">
        <v>0</v>
      </c>
      <c r="AI84" s="326">
        <v>0</v>
      </c>
      <c r="AJ84" s="326">
        <v>0</v>
      </c>
      <c r="AK84" s="626">
        <f t="shared" si="202"/>
        <v>0</v>
      </c>
      <c r="AL84" s="493">
        <f t="shared" si="203"/>
        <v>833435</v>
      </c>
      <c r="AM84" s="492">
        <f t="shared" si="204"/>
        <v>618275</v>
      </c>
      <c r="AN84" s="492">
        <f t="shared" si="205"/>
        <v>0</v>
      </c>
      <c r="AO84" s="492">
        <f t="shared" si="206"/>
        <v>208977</v>
      </c>
      <c r="AP84" s="492">
        <f t="shared" si="206"/>
        <v>6183</v>
      </c>
      <c r="AQ84" s="492">
        <v>0</v>
      </c>
      <c r="AR84" s="491">
        <f t="shared" si="207"/>
        <v>1.78</v>
      </c>
    </row>
    <row r="85" spans="1:44" s="152" customFormat="1" x14ac:dyDescent="0.2">
      <c r="A85" s="140">
        <v>17</v>
      </c>
      <c r="B85" s="141">
        <v>4479</v>
      </c>
      <c r="C85" s="141">
        <v>600075150</v>
      </c>
      <c r="D85" s="141">
        <v>70982228</v>
      </c>
      <c r="E85" s="139" t="s">
        <v>172</v>
      </c>
      <c r="F85" s="141">
        <v>3143</v>
      </c>
      <c r="G85" s="117" t="s">
        <v>794</v>
      </c>
      <c r="H85" s="157" t="s">
        <v>262</v>
      </c>
      <c r="I85" s="586">
        <f t="shared" si="192"/>
        <v>3250510</v>
      </c>
      <c r="J85" s="490">
        <v>2411357</v>
      </c>
      <c r="K85" s="55">
        <f t="shared" si="193"/>
        <v>815039</v>
      </c>
      <c r="L85" s="55">
        <f t="shared" si="194"/>
        <v>24114</v>
      </c>
      <c r="M85" s="55">
        <v>0</v>
      </c>
      <c r="N85" s="631">
        <v>4.55</v>
      </c>
      <c r="O85" s="440">
        <f t="shared" si="195"/>
        <v>0</v>
      </c>
      <c r="P85" s="325">
        <v>0</v>
      </c>
      <c r="Q85" s="325">
        <v>0</v>
      </c>
      <c r="R85" s="325">
        <v>0</v>
      </c>
      <c r="S85" s="325">
        <v>0</v>
      </c>
      <c r="T85" s="325">
        <v>0</v>
      </c>
      <c r="U85" s="492">
        <f t="shared" si="196"/>
        <v>0</v>
      </c>
      <c r="V85" s="325">
        <v>0</v>
      </c>
      <c r="W85" s="325">
        <v>0</v>
      </c>
      <c r="X85" s="325">
        <v>0</v>
      </c>
      <c r="Y85" s="492">
        <f t="shared" si="197"/>
        <v>0</v>
      </c>
      <c r="Z85" s="492">
        <f t="shared" si="198"/>
        <v>0</v>
      </c>
      <c r="AA85" s="494">
        <f t="shared" si="199"/>
        <v>0</v>
      </c>
      <c r="AB85" s="494">
        <f t="shared" si="200"/>
        <v>0</v>
      </c>
      <c r="AC85" s="492">
        <v>0</v>
      </c>
      <c r="AD85" s="789">
        <f t="shared" si="201"/>
        <v>0</v>
      </c>
      <c r="AE85" s="715">
        <v>0</v>
      </c>
      <c r="AF85" s="326">
        <v>0</v>
      </c>
      <c r="AG85" s="326">
        <v>0</v>
      </c>
      <c r="AH85" s="326">
        <v>0</v>
      </c>
      <c r="AI85" s="326">
        <v>0</v>
      </c>
      <c r="AJ85" s="326">
        <v>0</v>
      </c>
      <c r="AK85" s="626">
        <f t="shared" si="202"/>
        <v>0</v>
      </c>
      <c r="AL85" s="493">
        <f t="shared" si="203"/>
        <v>3250510</v>
      </c>
      <c r="AM85" s="492">
        <f t="shared" si="204"/>
        <v>2411357</v>
      </c>
      <c r="AN85" s="492">
        <f t="shared" si="205"/>
        <v>0</v>
      </c>
      <c r="AO85" s="492">
        <f t="shared" si="206"/>
        <v>815039</v>
      </c>
      <c r="AP85" s="492">
        <f t="shared" si="206"/>
        <v>24114</v>
      </c>
      <c r="AQ85" s="492">
        <v>0</v>
      </c>
      <c r="AR85" s="491">
        <f t="shared" si="207"/>
        <v>4.55</v>
      </c>
    </row>
    <row r="86" spans="1:44" s="152" customFormat="1" x14ac:dyDescent="0.2">
      <c r="A86" s="140">
        <v>17</v>
      </c>
      <c r="B86" s="141">
        <v>4479</v>
      </c>
      <c r="C86" s="141">
        <v>600075150</v>
      </c>
      <c r="D86" s="141">
        <v>70982228</v>
      </c>
      <c r="E86" s="139" t="s">
        <v>172</v>
      </c>
      <c r="F86" s="141">
        <v>3143</v>
      </c>
      <c r="G86" s="117" t="s">
        <v>282</v>
      </c>
      <c r="H86" s="157" t="s">
        <v>263</v>
      </c>
      <c r="I86" s="586">
        <f t="shared" si="192"/>
        <v>258732</v>
      </c>
      <c r="J86" s="490">
        <v>191938</v>
      </c>
      <c r="K86" s="55">
        <f t="shared" si="193"/>
        <v>64875</v>
      </c>
      <c r="L86" s="55">
        <f t="shared" si="194"/>
        <v>1919</v>
      </c>
      <c r="M86" s="55">
        <v>0</v>
      </c>
      <c r="N86" s="631">
        <v>0.36</v>
      </c>
      <c r="O86" s="440">
        <f t="shared" si="195"/>
        <v>0</v>
      </c>
      <c r="P86" s="325">
        <v>0</v>
      </c>
      <c r="Q86" s="325">
        <v>0</v>
      </c>
      <c r="R86" s="325">
        <v>0</v>
      </c>
      <c r="S86" s="325">
        <v>0</v>
      </c>
      <c r="T86" s="325">
        <v>0</v>
      </c>
      <c r="U86" s="492">
        <f t="shared" si="196"/>
        <v>0</v>
      </c>
      <c r="V86" s="325">
        <v>0</v>
      </c>
      <c r="W86" s="325">
        <v>0</v>
      </c>
      <c r="X86" s="325">
        <v>0</v>
      </c>
      <c r="Y86" s="492">
        <f t="shared" si="197"/>
        <v>0</v>
      </c>
      <c r="Z86" s="492">
        <f t="shared" si="198"/>
        <v>0</v>
      </c>
      <c r="AA86" s="494">
        <f t="shared" si="199"/>
        <v>0</v>
      </c>
      <c r="AB86" s="494">
        <f t="shared" si="200"/>
        <v>0</v>
      </c>
      <c r="AC86" s="492">
        <v>0</v>
      </c>
      <c r="AD86" s="789">
        <f t="shared" si="201"/>
        <v>0</v>
      </c>
      <c r="AE86" s="715">
        <v>0</v>
      </c>
      <c r="AF86" s="326">
        <v>0</v>
      </c>
      <c r="AG86" s="326">
        <v>0</v>
      </c>
      <c r="AH86" s="326">
        <v>0</v>
      </c>
      <c r="AI86" s="326">
        <v>0</v>
      </c>
      <c r="AJ86" s="326">
        <v>0</v>
      </c>
      <c r="AK86" s="626">
        <f t="shared" si="202"/>
        <v>0</v>
      </c>
      <c r="AL86" s="493">
        <f t="shared" si="203"/>
        <v>258732</v>
      </c>
      <c r="AM86" s="492">
        <f t="shared" si="204"/>
        <v>191938</v>
      </c>
      <c r="AN86" s="492">
        <f t="shared" si="205"/>
        <v>0</v>
      </c>
      <c r="AO86" s="492">
        <f t="shared" si="206"/>
        <v>64875</v>
      </c>
      <c r="AP86" s="492">
        <f t="shared" si="206"/>
        <v>1919</v>
      </c>
      <c r="AQ86" s="492">
        <v>0</v>
      </c>
      <c r="AR86" s="491">
        <f t="shared" si="207"/>
        <v>0.36</v>
      </c>
    </row>
    <row r="87" spans="1:44" s="152" customFormat="1" x14ac:dyDescent="0.2">
      <c r="A87" s="107">
        <v>17</v>
      </c>
      <c r="B87" s="15">
        <v>4479</v>
      </c>
      <c r="C87" s="15">
        <v>600075150</v>
      </c>
      <c r="D87" s="15">
        <v>70982228</v>
      </c>
      <c r="E87" s="116" t="s">
        <v>173</v>
      </c>
      <c r="F87" s="15"/>
      <c r="G87" s="106"/>
      <c r="H87" s="560"/>
      <c r="I87" s="794">
        <f t="shared" ref="I87:AR87" si="208">SUM(I78:I86)</f>
        <v>61636366</v>
      </c>
      <c r="J87" s="343">
        <f t="shared" si="208"/>
        <v>45724307</v>
      </c>
      <c r="K87" s="343">
        <f t="shared" si="208"/>
        <v>15454816</v>
      </c>
      <c r="L87" s="343">
        <f t="shared" si="208"/>
        <v>457243</v>
      </c>
      <c r="M87" s="343">
        <f t="shared" si="208"/>
        <v>0</v>
      </c>
      <c r="N87" s="35">
        <f t="shared" si="208"/>
        <v>71.27</v>
      </c>
      <c r="O87" s="346">
        <f t="shared" si="208"/>
        <v>0</v>
      </c>
      <c r="P87" s="343">
        <f t="shared" si="208"/>
        <v>242829</v>
      </c>
      <c r="Q87" s="343">
        <f t="shared" si="208"/>
        <v>0</v>
      </c>
      <c r="R87" s="343">
        <f t="shared" si="208"/>
        <v>0</v>
      </c>
      <c r="S87" s="343">
        <f t="shared" si="208"/>
        <v>0</v>
      </c>
      <c r="T87" s="343">
        <f t="shared" si="208"/>
        <v>43933</v>
      </c>
      <c r="U87" s="343">
        <f t="shared" si="208"/>
        <v>286762</v>
      </c>
      <c r="V87" s="343">
        <f t="shared" si="208"/>
        <v>0</v>
      </c>
      <c r="W87" s="343">
        <f t="shared" si="208"/>
        <v>0</v>
      </c>
      <c r="X87" s="343">
        <f t="shared" si="208"/>
        <v>0</v>
      </c>
      <c r="Y87" s="343">
        <f t="shared" si="208"/>
        <v>0</v>
      </c>
      <c r="Z87" s="343">
        <f t="shared" si="208"/>
        <v>286762</v>
      </c>
      <c r="AA87" s="343">
        <f t="shared" si="208"/>
        <v>96925</v>
      </c>
      <c r="AB87" s="343">
        <f t="shared" si="208"/>
        <v>2867</v>
      </c>
      <c r="AC87" s="343">
        <f t="shared" si="208"/>
        <v>0</v>
      </c>
      <c r="AD87" s="799">
        <f t="shared" si="208"/>
        <v>386554</v>
      </c>
      <c r="AE87" s="803">
        <f t="shared" si="208"/>
        <v>0</v>
      </c>
      <c r="AF87" s="344">
        <f t="shared" si="208"/>
        <v>0.46</v>
      </c>
      <c r="AG87" s="344">
        <f t="shared" si="208"/>
        <v>0</v>
      </c>
      <c r="AH87" s="344">
        <f t="shared" si="208"/>
        <v>0</v>
      </c>
      <c r="AI87" s="344">
        <f t="shared" si="208"/>
        <v>0</v>
      </c>
      <c r="AJ87" s="344">
        <f t="shared" si="208"/>
        <v>0.09</v>
      </c>
      <c r="AK87" s="35">
        <f t="shared" si="208"/>
        <v>0.55000000000000004</v>
      </c>
      <c r="AL87" s="346">
        <f t="shared" si="208"/>
        <v>62022920</v>
      </c>
      <c r="AM87" s="343">
        <f t="shared" si="208"/>
        <v>46011069</v>
      </c>
      <c r="AN87" s="343">
        <f t="shared" si="208"/>
        <v>0</v>
      </c>
      <c r="AO87" s="343">
        <f t="shared" si="208"/>
        <v>15551741</v>
      </c>
      <c r="AP87" s="343">
        <f t="shared" si="208"/>
        <v>460110</v>
      </c>
      <c r="AQ87" s="343">
        <f t="shared" si="208"/>
        <v>0</v>
      </c>
      <c r="AR87" s="344">
        <f t="shared" si="208"/>
        <v>71.820000000000007</v>
      </c>
    </row>
    <row r="88" spans="1:44" s="152" customFormat="1" x14ac:dyDescent="0.2">
      <c r="A88" s="140">
        <v>18</v>
      </c>
      <c r="B88" s="141">
        <v>4473</v>
      </c>
      <c r="C88" s="141">
        <v>600075117</v>
      </c>
      <c r="D88" s="141">
        <v>62237021</v>
      </c>
      <c r="E88" s="139" t="s">
        <v>174</v>
      </c>
      <c r="F88" s="141">
        <v>3231</v>
      </c>
      <c r="G88" s="117" t="s">
        <v>281</v>
      </c>
      <c r="H88" s="565" t="s">
        <v>262</v>
      </c>
      <c r="I88" s="586">
        <f>SUM(J88:L88)</f>
        <v>33847769</v>
      </c>
      <c r="J88" s="490">
        <v>25109621</v>
      </c>
      <c r="K88" s="55">
        <f>ROUND(J88*33.8%,0)</f>
        <v>8487052</v>
      </c>
      <c r="L88" s="55">
        <f>ROUND(J88*1%,0)</f>
        <v>251096</v>
      </c>
      <c r="M88" s="55">
        <v>0</v>
      </c>
      <c r="N88" s="631">
        <v>37.64</v>
      </c>
      <c r="O88" s="445">
        <f>(V88*-1)-X88</f>
        <v>0</v>
      </c>
      <c r="P88" s="325">
        <v>0</v>
      </c>
      <c r="Q88" s="325">
        <v>0</v>
      </c>
      <c r="R88" s="325">
        <v>0</v>
      </c>
      <c r="S88" s="325">
        <v>0</v>
      </c>
      <c r="T88" s="325">
        <v>0</v>
      </c>
      <c r="U88" s="492">
        <f>O88+P88+Q88+R88+S88+T88</f>
        <v>0</v>
      </c>
      <c r="V88" s="325">
        <v>0</v>
      </c>
      <c r="W88" s="325">
        <v>0</v>
      </c>
      <c r="X88" s="325">
        <v>0</v>
      </c>
      <c r="Y88" s="492">
        <f>V88+W88+X88</f>
        <v>0</v>
      </c>
      <c r="Z88" s="492">
        <f>U88+Y88</f>
        <v>0</v>
      </c>
      <c r="AA88" s="494">
        <f>ROUND((U88+Y88)*33.8%,0)</f>
        <v>0</v>
      </c>
      <c r="AB88" s="494">
        <f>ROUND(U88*1%,0)</f>
        <v>0</v>
      </c>
      <c r="AC88" s="492">
        <v>0</v>
      </c>
      <c r="AD88" s="789">
        <f>Z88+AA88+AB88+AC88</f>
        <v>0</v>
      </c>
      <c r="AE88" s="715">
        <v>0</v>
      </c>
      <c r="AF88" s="326">
        <v>0</v>
      </c>
      <c r="AG88" s="326">
        <v>0</v>
      </c>
      <c r="AH88" s="326">
        <v>0</v>
      </c>
      <c r="AI88" s="326">
        <v>0</v>
      </c>
      <c r="AJ88" s="326">
        <v>0</v>
      </c>
      <c r="AK88" s="626">
        <f>SUM(AE88:AJ88)</f>
        <v>0</v>
      </c>
      <c r="AL88" s="493">
        <f>I88+AD88</f>
        <v>33847769</v>
      </c>
      <c r="AM88" s="492">
        <f>J88+U88</f>
        <v>25109621</v>
      </c>
      <c r="AN88" s="492">
        <f>Y88</f>
        <v>0</v>
      </c>
      <c r="AO88" s="492">
        <f>K88+AA88</f>
        <v>8487052</v>
      </c>
      <c r="AP88" s="492">
        <f>L88+AB88</f>
        <v>251096</v>
      </c>
      <c r="AQ88" s="492">
        <v>0</v>
      </c>
      <c r="AR88" s="491">
        <f>N88+AK88</f>
        <v>37.64</v>
      </c>
    </row>
    <row r="89" spans="1:44" s="152" customFormat="1" x14ac:dyDescent="0.2">
      <c r="A89" s="107">
        <v>18</v>
      </c>
      <c r="B89" s="15">
        <v>4473</v>
      </c>
      <c r="C89" s="15">
        <v>600075117</v>
      </c>
      <c r="D89" s="15">
        <v>62237021</v>
      </c>
      <c r="E89" s="116" t="s">
        <v>175</v>
      </c>
      <c r="F89" s="15"/>
      <c r="G89" s="106"/>
      <c r="H89" s="560"/>
      <c r="I89" s="794">
        <f t="shared" ref="I89:AR89" si="209">SUM(I88)</f>
        <v>33847769</v>
      </c>
      <c r="J89" s="343">
        <f t="shared" si="209"/>
        <v>25109621</v>
      </c>
      <c r="K89" s="343">
        <f t="shared" si="209"/>
        <v>8487052</v>
      </c>
      <c r="L89" s="343">
        <f t="shared" si="209"/>
        <v>251096</v>
      </c>
      <c r="M89" s="343">
        <f t="shared" si="209"/>
        <v>0</v>
      </c>
      <c r="N89" s="35">
        <f t="shared" si="209"/>
        <v>37.64</v>
      </c>
      <c r="O89" s="346">
        <f t="shared" si="209"/>
        <v>0</v>
      </c>
      <c r="P89" s="343">
        <f t="shared" si="209"/>
        <v>0</v>
      </c>
      <c r="Q89" s="343">
        <f t="shared" si="209"/>
        <v>0</v>
      </c>
      <c r="R89" s="343">
        <f t="shared" si="209"/>
        <v>0</v>
      </c>
      <c r="S89" s="343">
        <f t="shared" si="209"/>
        <v>0</v>
      </c>
      <c r="T89" s="343">
        <f t="shared" si="209"/>
        <v>0</v>
      </c>
      <c r="U89" s="343">
        <f t="shared" si="209"/>
        <v>0</v>
      </c>
      <c r="V89" s="343">
        <f t="shared" si="209"/>
        <v>0</v>
      </c>
      <c r="W89" s="343">
        <f t="shared" si="209"/>
        <v>0</v>
      </c>
      <c r="X89" s="343">
        <f t="shared" si="209"/>
        <v>0</v>
      </c>
      <c r="Y89" s="343">
        <f t="shared" si="209"/>
        <v>0</v>
      </c>
      <c r="Z89" s="343">
        <f t="shared" si="209"/>
        <v>0</v>
      </c>
      <c r="AA89" s="343">
        <f t="shared" si="209"/>
        <v>0</v>
      </c>
      <c r="AB89" s="343">
        <f t="shared" si="209"/>
        <v>0</v>
      </c>
      <c r="AC89" s="343">
        <f t="shared" si="209"/>
        <v>0</v>
      </c>
      <c r="AD89" s="799">
        <f t="shared" si="209"/>
        <v>0</v>
      </c>
      <c r="AE89" s="803">
        <f t="shared" si="209"/>
        <v>0</v>
      </c>
      <c r="AF89" s="344">
        <f t="shared" si="209"/>
        <v>0</v>
      </c>
      <c r="AG89" s="344">
        <f t="shared" si="209"/>
        <v>0</v>
      </c>
      <c r="AH89" s="344">
        <f t="shared" si="209"/>
        <v>0</v>
      </c>
      <c r="AI89" s="344">
        <f t="shared" si="209"/>
        <v>0</v>
      </c>
      <c r="AJ89" s="344">
        <f t="shared" si="209"/>
        <v>0</v>
      </c>
      <c r="AK89" s="35">
        <f t="shared" si="209"/>
        <v>0</v>
      </c>
      <c r="AL89" s="346">
        <f t="shared" si="209"/>
        <v>33847769</v>
      </c>
      <c r="AM89" s="343">
        <f t="shared" si="209"/>
        <v>25109621</v>
      </c>
      <c r="AN89" s="343">
        <f t="shared" si="209"/>
        <v>0</v>
      </c>
      <c r="AO89" s="343">
        <f t="shared" si="209"/>
        <v>8487052</v>
      </c>
      <c r="AP89" s="343">
        <f t="shared" si="209"/>
        <v>251096</v>
      </c>
      <c r="AQ89" s="343">
        <f t="shared" si="209"/>
        <v>0</v>
      </c>
      <c r="AR89" s="344">
        <f t="shared" si="209"/>
        <v>37.64</v>
      </c>
    </row>
    <row r="90" spans="1:44" s="152" customFormat="1" x14ac:dyDescent="0.2">
      <c r="A90" s="140">
        <v>19</v>
      </c>
      <c r="B90" s="141">
        <v>4485</v>
      </c>
      <c r="C90" s="141">
        <v>600074102</v>
      </c>
      <c r="D90" s="141">
        <v>70695113</v>
      </c>
      <c r="E90" s="139" t="s">
        <v>176</v>
      </c>
      <c r="F90" s="141">
        <v>3111</v>
      </c>
      <c r="G90" s="117" t="s">
        <v>277</v>
      </c>
      <c r="H90" s="565" t="s">
        <v>262</v>
      </c>
      <c r="I90" s="586">
        <f>SUM(J90:L90)</f>
        <v>3138504</v>
      </c>
      <c r="J90" s="490">
        <v>2328267</v>
      </c>
      <c r="K90" s="55">
        <f t="shared" ref="K90:K91" si="210">ROUND(J90*33.8%,0)</f>
        <v>786954</v>
      </c>
      <c r="L90" s="55">
        <f t="shared" ref="L90:L91" si="211">ROUND(J90*1%,0)</f>
        <v>23283</v>
      </c>
      <c r="M90" s="55">
        <v>0</v>
      </c>
      <c r="N90" s="631">
        <v>4</v>
      </c>
      <c r="O90" s="445">
        <f>V90*-1</f>
        <v>-21000</v>
      </c>
      <c r="P90" s="325">
        <v>0</v>
      </c>
      <c r="Q90" s="325">
        <v>0</v>
      </c>
      <c r="R90" s="325">
        <v>0</v>
      </c>
      <c r="S90" s="325">
        <v>0</v>
      </c>
      <c r="T90" s="325">
        <v>0</v>
      </c>
      <c r="U90" s="492">
        <f t="shared" ref="U90:U91" si="212">O90+P90+Q90+R90+S90+T90</f>
        <v>-21000</v>
      </c>
      <c r="V90" s="325">
        <v>21000</v>
      </c>
      <c r="W90" s="325">
        <v>0</v>
      </c>
      <c r="X90" s="325">
        <v>0</v>
      </c>
      <c r="Y90" s="492">
        <f t="shared" ref="Y90:Y91" si="213">V90+W90+X90</f>
        <v>21000</v>
      </c>
      <c r="Z90" s="492">
        <f t="shared" ref="Z90:Z91" si="214">U90+Y90</f>
        <v>0</v>
      </c>
      <c r="AA90" s="494">
        <f t="shared" ref="AA90:AA91" si="215">ROUND((U90+Y90)*33.8%,0)</f>
        <v>0</v>
      </c>
      <c r="AB90" s="494">
        <f t="shared" ref="AB90:AB91" si="216">ROUND(U90*1%,0)</f>
        <v>-210</v>
      </c>
      <c r="AC90" s="492">
        <v>0</v>
      </c>
      <c r="AD90" s="789">
        <f t="shared" ref="AD90:AD91" si="217">Z90+AA90+AB90+AC90</f>
        <v>-210</v>
      </c>
      <c r="AE90" s="715">
        <v>-0.03</v>
      </c>
      <c r="AF90" s="326">
        <v>0</v>
      </c>
      <c r="AG90" s="326">
        <v>0</v>
      </c>
      <c r="AH90" s="326">
        <v>0</v>
      </c>
      <c r="AI90" s="326">
        <v>0</v>
      </c>
      <c r="AJ90" s="326">
        <v>0</v>
      </c>
      <c r="AK90" s="626">
        <f t="shared" ref="AK90:AK91" si="218">SUM(AE90:AJ90)</f>
        <v>-0.03</v>
      </c>
      <c r="AL90" s="493">
        <f>I90+AD90</f>
        <v>3138294</v>
      </c>
      <c r="AM90" s="492">
        <f>J90+U90</f>
        <v>2307267</v>
      </c>
      <c r="AN90" s="492">
        <f t="shared" ref="AN90:AN91" si="219">Y90</f>
        <v>21000</v>
      </c>
      <c r="AO90" s="492">
        <f>K90+AA90</f>
        <v>786954</v>
      </c>
      <c r="AP90" s="492">
        <f>L90+AB90</f>
        <v>23073</v>
      </c>
      <c r="AQ90" s="492">
        <v>0</v>
      </c>
      <c r="AR90" s="491">
        <f t="shared" ref="AR90:AR91" si="220">N90+AK90</f>
        <v>3.97</v>
      </c>
    </row>
    <row r="91" spans="1:44" s="152" customFormat="1" x14ac:dyDescent="0.2">
      <c r="A91" s="140">
        <v>19</v>
      </c>
      <c r="B91" s="141">
        <v>4485</v>
      </c>
      <c r="C91" s="141">
        <v>600074102</v>
      </c>
      <c r="D91" s="141">
        <v>70695113</v>
      </c>
      <c r="E91" s="139" t="s">
        <v>176</v>
      </c>
      <c r="F91" s="141">
        <v>3111</v>
      </c>
      <c r="G91" s="117" t="s">
        <v>278</v>
      </c>
      <c r="H91" s="565" t="s">
        <v>263</v>
      </c>
      <c r="I91" s="586">
        <f>SUM(J91:L91)</f>
        <v>0</v>
      </c>
      <c r="J91" s="490">
        <v>0</v>
      </c>
      <c r="K91" s="55">
        <f t="shared" si="210"/>
        <v>0</v>
      </c>
      <c r="L91" s="55">
        <f t="shared" si="211"/>
        <v>0</v>
      </c>
      <c r="M91" s="55">
        <v>0</v>
      </c>
      <c r="N91" s="631">
        <v>0</v>
      </c>
      <c r="O91" s="440">
        <f>V91*-1</f>
        <v>0</v>
      </c>
      <c r="P91" s="325">
        <v>297636</v>
      </c>
      <c r="Q91" s="325">
        <v>0</v>
      </c>
      <c r="R91" s="325">
        <v>0</v>
      </c>
      <c r="S91" s="325">
        <v>0</v>
      </c>
      <c r="T91" s="325">
        <v>0</v>
      </c>
      <c r="U91" s="492">
        <f t="shared" si="212"/>
        <v>297636</v>
      </c>
      <c r="V91" s="325">
        <v>0</v>
      </c>
      <c r="W91" s="325">
        <v>0</v>
      </c>
      <c r="X91" s="325">
        <v>0</v>
      </c>
      <c r="Y91" s="492">
        <f t="shared" si="213"/>
        <v>0</v>
      </c>
      <c r="Z91" s="492">
        <f t="shared" si="214"/>
        <v>297636</v>
      </c>
      <c r="AA91" s="494">
        <f t="shared" si="215"/>
        <v>100601</v>
      </c>
      <c r="AB91" s="494">
        <f t="shared" si="216"/>
        <v>2976</v>
      </c>
      <c r="AC91" s="492">
        <v>0</v>
      </c>
      <c r="AD91" s="789">
        <f t="shared" si="217"/>
        <v>401213</v>
      </c>
      <c r="AE91" s="715">
        <v>0</v>
      </c>
      <c r="AF91" s="326">
        <v>0.75</v>
      </c>
      <c r="AG91" s="326">
        <v>0</v>
      </c>
      <c r="AH91" s="326">
        <v>0</v>
      </c>
      <c r="AI91" s="326">
        <v>0</v>
      </c>
      <c r="AJ91" s="326">
        <v>0</v>
      </c>
      <c r="AK91" s="626">
        <f t="shared" si="218"/>
        <v>0.75</v>
      </c>
      <c r="AL91" s="493">
        <f>I91+AD91</f>
        <v>401213</v>
      </c>
      <c r="AM91" s="492">
        <f>J91+U91</f>
        <v>297636</v>
      </c>
      <c r="AN91" s="492">
        <f t="shared" si="219"/>
        <v>0</v>
      </c>
      <c r="AO91" s="492">
        <f>K91+AA91</f>
        <v>100601</v>
      </c>
      <c r="AP91" s="492">
        <f>L91+AB91</f>
        <v>2976</v>
      </c>
      <c r="AQ91" s="492">
        <v>0</v>
      </c>
      <c r="AR91" s="491">
        <f t="shared" si="220"/>
        <v>0.75</v>
      </c>
    </row>
    <row r="92" spans="1:44" s="152" customFormat="1" x14ac:dyDescent="0.2">
      <c r="A92" s="107">
        <v>19</v>
      </c>
      <c r="B92" s="15">
        <v>4485</v>
      </c>
      <c r="C92" s="15">
        <v>600074102</v>
      </c>
      <c r="D92" s="15">
        <v>70695113</v>
      </c>
      <c r="E92" s="116" t="s">
        <v>177</v>
      </c>
      <c r="F92" s="15"/>
      <c r="G92" s="106"/>
      <c r="H92" s="560"/>
      <c r="I92" s="794">
        <f t="shared" ref="I92:AR92" si="221">SUM(I90:I91)</f>
        <v>3138504</v>
      </c>
      <c r="J92" s="343">
        <f t="shared" si="221"/>
        <v>2328267</v>
      </c>
      <c r="K92" s="343">
        <f t="shared" si="221"/>
        <v>786954</v>
      </c>
      <c r="L92" s="343">
        <f t="shared" si="221"/>
        <v>23283</v>
      </c>
      <c r="M92" s="343">
        <f t="shared" si="221"/>
        <v>0</v>
      </c>
      <c r="N92" s="35">
        <f t="shared" si="221"/>
        <v>4</v>
      </c>
      <c r="O92" s="346">
        <f t="shared" si="221"/>
        <v>-21000</v>
      </c>
      <c r="P92" s="343">
        <f t="shared" si="221"/>
        <v>297636</v>
      </c>
      <c r="Q92" s="343">
        <f t="shared" si="221"/>
        <v>0</v>
      </c>
      <c r="R92" s="343">
        <f t="shared" si="221"/>
        <v>0</v>
      </c>
      <c r="S92" s="343">
        <f t="shared" si="221"/>
        <v>0</v>
      </c>
      <c r="T92" s="343">
        <f t="shared" si="221"/>
        <v>0</v>
      </c>
      <c r="U92" s="343">
        <f t="shared" si="221"/>
        <v>276636</v>
      </c>
      <c r="V92" s="343">
        <f t="shared" si="221"/>
        <v>21000</v>
      </c>
      <c r="W92" s="343">
        <f t="shared" si="221"/>
        <v>0</v>
      </c>
      <c r="X92" s="343">
        <f t="shared" si="221"/>
        <v>0</v>
      </c>
      <c r="Y92" s="343">
        <f t="shared" si="221"/>
        <v>21000</v>
      </c>
      <c r="Z92" s="343">
        <f t="shared" si="221"/>
        <v>297636</v>
      </c>
      <c r="AA92" s="343">
        <f t="shared" si="221"/>
        <v>100601</v>
      </c>
      <c r="AB92" s="343">
        <f t="shared" si="221"/>
        <v>2766</v>
      </c>
      <c r="AC92" s="343">
        <f t="shared" si="221"/>
        <v>0</v>
      </c>
      <c r="AD92" s="799">
        <f t="shared" si="221"/>
        <v>401003</v>
      </c>
      <c r="AE92" s="803">
        <f t="shared" si="221"/>
        <v>-0.03</v>
      </c>
      <c r="AF92" s="344">
        <f t="shared" si="221"/>
        <v>0.75</v>
      </c>
      <c r="AG92" s="344">
        <f t="shared" si="221"/>
        <v>0</v>
      </c>
      <c r="AH92" s="344">
        <f t="shared" si="221"/>
        <v>0</v>
      </c>
      <c r="AI92" s="344">
        <f t="shared" si="221"/>
        <v>0</v>
      </c>
      <c r="AJ92" s="344">
        <f t="shared" si="221"/>
        <v>0</v>
      </c>
      <c r="AK92" s="35">
        <f t="shared" si="221"/>
        <v>0.72</v>
      </c>
      <c r="AL92" s="346">
        <f t="shared" si="221"/>
        <v>3539507</v>
      </c>
      <c r="AM92" s="343">
        <f t="shared" si="221"/>
        <v>2604903</v>
      </c>
      <c r="AN92" s="343">
        <f t="shared" si="221"/>
        <v>21000</v>
      </c>
      <c r="AO92" s="343">
        <f t="shared" si="221"/>
        <v>887555</v>
      </c>
      <c r="AP92" s="343">
        <f t="shared" si="221"/>
        <v>26049</v>
      </c>
      <c r="AQ92" s="343">
        <f t="shared" si="221"/>
        <v>0</v>
      </c>
      <c r="AR92" s="344">
        <f t="shared" si="221"/>
        <v>4.7200000000000006</v>
      </c>
    </row>
    <row r="93" spans="1:44" s="152" customFormat="1" x14ac:dyDescent="0.2">
      <c r="A93" s="140">
        <v>20</v>
      </c>
      <c r="B93" s="141">
        <v>4435</v>
      </c>
      <c r="C93" s="141">
        <v>650034295</v>
      </c>
      <c r="D93" s="141">
        <v>72744669</v>
      </c>
      <c r="E93" s="139" t="s">
        <v>178</v>
      </c>
      <c r="F93" s="141">
        <v>3111</v>
      </c>
      <c r="G93" s="117" t="s">
        <v>277</v>
      </c>
      <c r="H93" s="565" t="s">
        <v>262</v>
      </c>
      <c r="I93" s="586">
        <f>SUM(J93:L93)</f>
        <v>3149793</v>
      </c>
      <c r="J93" s="490">
        <v>2336642</v>
      </c>
      <c r="K93" s="55">
        <f t="shared" ref="K93:K96" si="222">ROUND(J93*33.8%,0)</f>
        <v>789785</v>
      </c>
      <c r="L93" s="55">
        <f t="shared" ref="L93:L96" si="223">ROUND(J93*1%,0)</f>
        <v>23366</v>
      </c>
      <c r="M93" s="55">
        <v>0</v>
      </c>
      <c r="N93" s="631">
        <v>4</v>
      </c>
      <c r="O93" s="445">
        <f t="shared" ref="O93:O96" si="224">V93*-1</f>
        <v>-12000</v>
      </c>
      <c r="P93" s="325">
        <v>0</v>
      </c>
      <c r="Q93" s="325">
        <v>0</v>
      </c>
      <c r="R93" s="325">
        <v>0</v>
      </c>
      <c r="S93" s="325">
        <v>0</v>
      </c>
      <c r="T93" s="325">
        <v>0</v>
      </c>
      <c r="U93" s="492">
        <f t="shared" ref="U93:U96" si="225">O93+P93+Q93+R93+S93+T93</f>
        <v>-12000</v>
      </c>
      <c r="V93" s="325">
        <v>12000</v>
      </c>
      <c r="W93" s="325">
        <v>0</v>
      </c>
      <c r="X93" s="325">
        <v>0</v>
      </c>
      <c r="Y93" s="492">
        <f t="shared" ref="Y93:Y96" si="226">V93+W93+X93</f>
        <v>12000</v>
      </c>
      <c r="Z93" s="492">
        <f t="shared" ref="Z93:Z96" si="227">U93+Y93</f>
        <v>0</v>
      </c>
      <c r="AA93" s="494">
        <f t="shared" ref="AA93:AA96" si="228">ROUND((U93+Y93)*33.8%,0)</f>
        <v>0</v>
      </c>
      <c r="AB93" s="494">
        <f t="shared" ref="AB93:AB96" si="229">ROUND(U93*1%,0)</f>
        <v>-120</v>
      </c>
      <c r="AC93" s="492">
        <v>0</v>
      </c>
      <c r="AD93" s="789">
        <f t="shared" ref="AD93:AD96" si="230">Z93+AA93+AB93+AC93</f>
        <v>-120</v>
      </c>
      <c r="AE93" s="715">
        <v>0</v>
      </c>
      <c r="AF93" s="326">
        <v>0</v>
      </c>
      <c r="AG93" s="326">
        <v>0</v>
      </c>
      <c r="AH93" s="326">
        <v>0</v>
      </c>
      <c r="AI93" s="326">
        <v>0</v>
      </c>
      <c r="AJ93" s="326">
        <v>0</v>
      </c>
      <c r="AK93" s="626">
        <f t="shared" ref="AK93:AK96" si="231">SUM(AE93:AJ93)</f>
        <v>0</v>
      </c>
      <c r="AL93" s="493">
        <f>I93+AD93</f>
        <v>3149673</v>
      </c>
      <c r="AM93" s="492">
        <f>J93+U93</f>
        <v>2324642</v>
      </c>
      <c r="AN93" s="492">
        <f t="shared" ref="AN93:AN96" si="232">Y93</f>
        <v>12000</v>
      </c>
      <c r="AO93" s="492">
        <f t="shared" ref="AO93:AP96" si="233">K93+AA93</f>
        <v>789785</v>
      </c>
      <c r="AP93" s="492">
        <f t="shared" si="233"/>
        <v>23246</v>
      </c>
      <c r="AQ93" s="492">
        <v>0</v>
      </c>
      <c r="AR93" s="491">
        <f t="shared" ref="AR93:AR96" si="234">N93+AK93</f>
        <v>4</v>
      </c>
    </row>
    <row r="94" spans="1:44" s="152" customFormat="1" x14ac:dyDescent="0.2">
      <c r="A94" s="140">
        <v>20</v>
      </c>
      <c r="B94" s="141">
        <v>4435</v>
      </c>
      <c r="C94" s="141">
        <v>650034295</v>
      </c>
      <c r="D94" s="141">
        <v>72744669</v>
      </c>
      <c r="E94" s="139" t="s">
        <v>178</v>
      </c>
      <c r="F94" s="141">
        <v>3117</v>
      </c>
      <c r="G94" s="117" t="s">
        <v>280</v>
      </c>
      <c r="H94" s="565" t="s">
        <v>262</v>
      </c>
      <c r="I94" s="586">
        <f>SUM(J94:L94)</f>
        <v>5000650</v>
      </c>
      <c r="J94" s="490">
        <v>3709681</v>
      </c>
      <c r="K94" s="55">
        <f t="shared" si="222"/>
        <v>1253872</v>
      </c>
      <c r="L94" s="55">
        <f t="shared" si="223"/>
        <v>37097</v>
      </c>
      <c r="M94" s="55">
        <v>0</v>
      </c>
      <c r="N94" s="631">
        <v>5.57</v>
      </c>
      <c r="O94" s="440">
        <f t="shared" si="224"/>
        <v>-18000</v>
      </c>
      <c r="P94" s="325">
        <v>0</v>
      </c>
      <c r="Q94" s="325">
        <v>0</v>
      </c>
      <c r="R94" s="325">
        <v>0</v>
      </c>
      <c r="S94" s="325">
        <v>0</v>
      </c>
      <c r="T94" s="325">
        <v>0</v>
      </c>
      <c r="U94" s="492">
        <f t="shared" si="225"/>
        <v>-18000</v>
      </c>
      <c r="V94" s="325">
        <v>18000</v>
      </c>
      <c r="W94" s="325">
        <v>0</v>
      </c>
      <c r="X94" s="325">
        <v>0</v>
      </c>
      <c r="Y94" s="492">
        <f t="shared" si="226"/>
        <v>18000</v>
      </c>
      <c r="Z94" s="492">
        <f t="shared" si="227"/>
        <v>0</v>
      </c>
      <c r="AA94" s="494">
        <f t="shared" si="228"/>
        <v>0</v>
      </c>
      <c r="AB94" s="494">
        <f t="shared" si="229"/>
        <v>-180</v>
      </c>
      <c r="AC94" s="492">
        <v>0</v>
      </c>
      <c r="AD94" s="789">
        <f t="shared" si="230"/>
        <v>-180</v>
      </c>
      <c r="AE94" s="715">
        <v>0</v>
      </c>
      <c r="AF94" s="326">
        <v>0</v>
      </c>
      <c r="AG94" s="326">
        <v>0</v>
      </c>
      <c r="AH94" s="326">
        <v>0</v>
      </c>
      <c r="AI94" s="326">
        <v>0</v>
      </c>
      <c r="AJ94" s="326">
        <v>0</v>
      </c>
      <c r="AK94" s="626">
        <f t="shared" si="231"/>
        <v>0</v>
      </c>
      <c r="AL94" s="493">
        <f>I94+AD94</f>
        <v>5000470</v>
      </c>
      <c r="AM94" s="492">
        <f>J94+U94</f>
        <v>3691681</v>
      </c>
      <c r="AN94" s="492">
        <f t="shared" si="232"/>
        <v>18000</v>
      </c>
      <c r="AO94" s="492">
        <f t="shared" si="233"/>
        <v>1253872</v>
      </c>
      <c r="AP94" s="492">
        <f t="shared" si="233"/>
        <v>36917</v>
      </c>
      <c r="AQ94" s="492">
        <v>0</v>
      </c>
      <c r="AR94" s="491">
        <f t="shared" si="234"/>
        <v>5.57</v>
      </c>
    </row>
    <row r="95" spans="1:44" s="152" customFormat="1" x14ac:dyDescent="0.2">
      <c r="A95" s="140">
        <v>20</v>
      </c>
      <c r="B95" s="141">
        <v>4435</v>
      </c>
      <c r="C95" s="141">
        <v>650034295</v>
      </c>
      <c r="D95" s="141">
        <v>72744669</v>
      </c>
      <c r="E95" s="139" t="s">
        <v>178</v>
      </c>
      <c r="F95" s="141">
        <v>3117</v>
      </c>
      <c r="G95" s="117" t="s">
        <v>278</v>
      </c>
      <c r="H95" s="565" t="s">
        <v>263</v>
      </c>
      <c r="I95" s="586">
        <f>SUM(J95:L95)</f>
        <v>0</v>
      </c>
      <c r="J95" s="490">
        <v>0</v>
      </c>
      <c r="K95" s="55">
        <f t="shared" si="222"/>
        <v>0</v>
      </c>
      <c r="L95" s="55">
        <f t="shared" si="223"/>
        <v>0</v>
      </c>
      <c r="M95" s="55">
        <v>0</v>
      </c>
      <c r="N95" s="631">
        <v>0</v>
      </c>
      <c r="O95" s="440">
        <f t="shared" si="224"/>
        <v>0</v>
      </c>
      <c r="P95" s="325">
        <v>595271</v>
      </c>
      <c r="Q95" s="325">
        <v>0</v>
      </c>
      <c r="R95" s="325">
        <v>0</v>
      </c>
      <c r="S95" s="325">
        <v>0</v>
      </c>
      <c r="T95" s="325">
        <v>0</v>
      </c>
      <c r="U95" s="492">
        <f t="shared" si="225"/>
        <v>595271</v>
      </c>
      <c r="V95" s="325">
        <v>0</v>
      </c>
      <c r="W95" s="325">
        <v>0</v>
      </c>
      <c r="X95" s="325">
        <v>0</v>
      </c>
      <c r="Y95" s="492">
        <f t="shared" si="226"/>
        <v>0</v>
      </c>
      <c r="Z95" s="492">
        <f t="shared" si="227"/>
        <v>595271</v>
      </c>
      <c r="AA95" s="494">
        <f t="shared" si="228"/>
        <v>201202</v>
      </c>
      <c r="AB95" s="494">
        <f t="shared" si="229"/>
        <v>5953</v>
      </c>
      <c r="AC95" s="492">
        <v>0</v>
      </c>
      <c r="AD95" s="789">
        <f t="shared" si="230"/>
        <v>802426</v>
      </c>
      <c r="AE95" s="715">
        <v>0</v>
      </c>
      <c r="AF95" s="326">
        <v>1.5</v>
      </c>
      <c r="AG95" s="326">
        <v>0</v>
      </c>
      <c r="AH95" s="326">
        <v>0</v>
      </c>
      <c r="AI95" s="326">
        <v>0</v>
      </c>
      <c r="AJ95" s="326">
        <v>0</v>
      </c>
      <c r="AK95" s="626">
        <f t="shared" si="231"/>
        <v>1.5</v>
      </c>
      <c r="AL95" s="493">
        <f>I95+AD95</f>
        <v>802426</v>
      </c>
      <c r="AM95" s="492">
        <f>J95+U95</f>
        <v>595271</v>
      </c>
      <c r="AN95" s="492">
        <f t="shared" si="232"/>
        <v>0</v>
      </c>
      <c r="AO95" s="492">
        <f t="shared" si="233"/>
        <v>201202</v>
      </c>
      <c r="AP95" s="492">
        <f t="shared" si="233"/>
        <v>5953</v>
      </c>
      <c r="AQ95" s="492">
        <v>0</v>
      </c>
      <c r="AR95" s="491">
        <f t="shared" si="234"/>
        <v>1.5</v>
      </c>
    </row>
    <row r="96" spans="1:44" s="152" customFormat="1" x14ac:dyDescent="0.2">
      <c r="A96" s="140">
        <v>20</v>
      </c>
      <c r="B96" s="141">
        <v>4435</v>
      </c>
      <c r="C96" s="141">
        <v>650034295</v>
      </c>
      <c r="D96" s="141">
        <v>72744669</v>
      </c>
      <c r="E96" s="139" t="s">
        <v>178</v>
      </c>
      <c r="F96" s="141">
        <v>3143</v>
      </c>
      <c r="G96" s="117" t="s">
        <v>795</v>
      </c>
      <c r="H96" s="157" t="s">
        <v>262</v>
      </c>
      <c r="I96" s="586">
        <f>SUM(J96:L96)</f>
        <v>677807</v>
      </c>
      <c r="J96" s="490">
        <v>502824</v>
      </c>
      <c r="K96" s="55">
        <f t="shared" si="222"/>
        <v>169955</v>
      </c>
      <c r="L96" s="55">
        <f t="shared" si="223"/>
        <v>5028</v>
      </c>
      <c r="M96" s="55">
        <v>0</v>
      </c>
      <c r="N96" s="631">
        <v>0.94</v>
      </c>
      <c r="O96" s="440">
        <f t="shared" si="224"/>
        <v>-6000</v>
      </c>
      <c r="P96" s="325">
        <v>0</v>
      </c>
      <c r="Q96" s="325">
        <v>0</v>
      </c>
      <c r="R96" s="325">
        <v>0</v>
      </c>
      <c r="S96" s="325">
        <v>0</v>
      </c>
      <c r="T96" s="325">
        <v>0</v>
      </c>
      <c r="U96" s="492">
        <f t="shared" si="225"/>
        <v>-6000</v>
      </c>
      <c r="V96" s="325">
        <v>6000</v>
      </c>
      <c r="W96" s="325">
        <v>0</v>
      </c>
      <c r="X96" s="325">
        <v>0</v>
      </c>
      <c r="Y96" s="492">
        <f t="shared" si="226"/>
        <v>6000</v>
      </c>
      <c r="Z96" s="492">
        <f t="shared" si="227"/>
        <v>0</v>
      </c>
      <c r="AA96" s="494">
        <f t="shared" si="228"/>
        <v>0</v>
      </c>
      <c r="AB96" s="494">
        <f t="shared" si="229"/>
        <v>-60</v>
      </c>
      <c r="AC96" s="492">
        <v>0</v>
      </c>
      <c r="AD96" s="789">
        <f t="shared" si="230"/>
        <v>-60</v>
      </c>
      <c r="AE96" s="715">
        <v>0</v>
      </c>
      <c r="AF96" s="326">
        <v>0</v>
      </c>
      <c r="AG96" s="326">
        <v>0</v>
      </c>
      <c r="AH96" s="326">
        <v>0</v>
      </c>
      <c r="AI96" s="326">
        <v>0</v>
      </c>
      <c r="AJ96" s="326">
        <v>0</v>
      </c>
      <c r="AK96" s="626">
        <f t="shared" si="231"/>
        <v>0</v>
      </c>
      <c r="AL96" s="493">
        <f>I96+AD96</f>
        <v>677747</v>
      </c>
      <c r="AM96" s="492">
        <f>J96+U96</f>
        <v>496824</v>
      </c>
      <c r="AN96" s="492">
        <f t="shared" si="232"/>
        <v>6000</v>
      </c>
      <c r="AO96" s="492">
        <f t="shared" si="233"/>
        <v>169955</v>
      </c>
      <c r="AP96" s="492">
        <f t="shared" si="233"/>
        <v>4968</v>
      </c>
      <c r="AQ96" s="492">
        <v>0</v>
      </c>
      <c r="AR96" s="491">
        <f t="shared" si="234"/>
        <v>0.94</v>
      </c>
    </row>
    <row r="97" spans="1:44" s="152" customFormat="1" x14ac:dyDescent="0.2">
      <c r="A97" s="107">
        <v>20</v>
      </c>
      <c r="B97" s="15">
        <v>4435</v>
      </c>
      <c r="C97" s="15">
        <v>650034295</v>
      </c>
      <c r="D97" s="15">
        <v>72744669</v>
      </c>
      <c r="E97" s="116" t="s">
        <v>179</v>
      </c>
      <c r="F97" s="15"/>
      <c r="G97" s="106"/>
      <c r="H97" s="560"/>
      <c r="I97" s="794">
        <f t="shared" ref="I97:AR97" si="235">SUM(I93:I96)</f>
        <v>8828250</v>
      </c>
      <c r="J97" s="343">
        <f t="shared" si="235"/>
        <v>6549147</v>
      </c>
      <c r="K97" s="343">
        <f t="shared" si="235"/>
        <v>2213612</v>
      </c>
      <c r="L97" s="343">
        <f t="shared" si="235"/>
        <v>65491</v>
      </c>
      <c r="M97" s="343">
        <f t="shared" si="235"/>
        <v>0</v>
      </c>
      <c r="N97" s="35">
        <f t="shared" si="235"/>
        <v>10.51</v>
      </c>
      <c r="O97" s="346">
        <f t="shared" si="235"/>
        <v>-36000</v>
      </c>
      <c r="P97" s="343">
        <f t="shared" si="235"/>
        <v>595271</v>
      </c>
      <c r="Q97" s="343">
        <f t="shared" si="235"/>
        <v>0</v>
      </c>
      <c r="R97" s="343">
        <f t="shared" si="235"/>
        <v>0</v>
      </c>
      <c r="S97" s="343">
        <f t="shared" si="235"/>
        <v>0</v>
      </c>
      <c r="T97" s="343">
        <f t="shared" si="235"/>
        <v>0</v>
      </c>
      <c r="U97" s="343">
        <f t="shared" si="235"/>
        <v>559271</v>
      </c>
      <c r="V97" s="343">
        <f t="shared" si="235"/>
        <v>36000</v>
      </c>
      <c r="W97" s="343">
        <f t="shared" si="235"/>
        <v>0</v>
      </c>
      <c r="X97" s="343">
        <f t="shared" si="235"/>
        <v>0</v>
      </c>
      <c r="Y97" s="343">
        <f t="shared" si="235"/>
        <v>36000</v>
      </c>
      <c r="Z97" s="343">
        <f t="shared" si="235"/>
        <v>595271</v>
      </c>
      <c r="AA97" s="343">
        <f t="shared" si="235"/>
        <v>201202</v>
      </c>
      <c r="AB97" s="343">
        <f t="shared" si="235"/>
        <v>5593</v>
      </c>
      <c r="AC97" s="343">
        <f t="shared" si="235"/>
        <v>0</v>
      </c>
      <c r="AD97" s="799">
        <f t="shared" si="235"/>
        <v>802066</v>
      </c>
      <c r="AE97" s="803">
        <f t="shared" si="235"/>
        <v>0</v>
      </c>
      <c r="AF97" s="344">
        <f t="shared" si="235"/>
        <v>1.5</v>
      </c>
      <c r="AG97" s="344">
        <f t="shared" si="235"/>
        <v>0</v>
      </c>
      <c r="AH97" s="344">
        <f t="shared" si="235"/>
        <v>0</v>
      </c>
      <c r="AI97" s="344">
        <f t="shared" si="235"/>
        <v>0</v>
      </c>
      <c r="AJ97" s="344">
        <f t="shared" si="235"/>
        <v>0</v>
      </c>
      <c r="AK97" s="35">
        <f t="shared" si="235"/>
        <v>1.5</v>
      </c>
      <c r="AL97" s="346">
        <f t="shared" si="235"/>
        <v>9630316</v>
      </c>
      <c r="AM97" s="343">
        <f t="shared" si="235"/>
        <v>7108418</v>
      </c>
      <c r="AN97" s="343">
        <f t="shared" si="235"/>
        <v>36000</v>
      </c>
      <c r="AO97" s="343">
        <f t="shared" si="235"/>
        <v>2414814</v>
      </c>
      <c r="AP97" s="343">
        <f t="shared" si="235"/>
        <v>71084</v>
      </c>
      <c r="AQ97" s="343">
        <f t="shared" si="235"/>
        <v>0</v>
      </c>
      <c r="AR97" s="344">
        <f t="shared" si="235"/>
        <v>12.01</v>
      </c>
    </row>
    <row r="98" spans="1:44" s="152" customFormat="1" x14ac:dyDescent="0.2">
      <c r="A98" s="140">
        <v>21</v>
      </c>
      <c r="B98" s="141">
        <v>4412</v>
      </c>
      <c r="C98" s="141">
        <v>600074447</v>
      </c>
      <c r="D98" s="141">
        <v>70698554</v>
      </c>
      <c r="E98" s="139" t="s">
        <v>180</v>
      </c>
      <c r="F98" s="141">
        <v>3111</v>
      </c>
      <c r="G98" s="117" t="s">
        <v>277</v>
      </c>
      <c r="H98" s="565" t="s">
        <v>262</v>
      </c>
      <c r="I98" s="586">
        <f>SUM(J98:L98)</f>
        <v>3513566</v>
      </c>
      <c r="J98" s="490">
        <v>2606503</v>
      </c>
      <c r="K98" s="55">
        <f t="shared" ref="K98:K99" si="236">ROUND(J98*33.8%,0)</f>
        <v>880998</v>
      </c>
      <c r="L98" s="55">
        <f t="shared" ref="L98:L99" si="237">ROUND(J98*1%,0)</f>
        <v>26065</v>
      </c>
      <c r="M98" s="55">
        <v>0</v>
      </c>
      <c r="N98" s="631">
        <v>4</v>
      </c>
      <c r="O98" s="445">
        <f>V98*-1</f>
        <v>0</v>
      </c>
      <c r="P98" s="325">
        <v>0</v>
      </c>
      <c r="Q98" s="325">
        <v>0</v>
      </c>
      <c r="R98" s="325">
        <v>0</v>
      </c>
      <c r="S98" s="325">
        <v>0</v>
      </c>
      <c r="T98" s="325">
        <v>0</v>
      </c>
      <c r="U98" s="492">
        <f t="shared" ref="U98:U99" si="238">O98+P98+Q98+R98+S98+T98</f>
        <v>0</v>
      </c>
      <c r="V98" s="325">
        <v>0</v>
      </c>
      <c r="W98" s="325">
        <v>0</v>
      </c>
      <c r="X98" s="325">
        <v>0</v>
      </c>
      <c r="Y98" s="492">
        <f t="shared" ref="Y98:Y99" si="239">V98+W98+X98</f>
        <v>0</v>
      </c>
      <c r="Z98" s="492">
        <f t="shared" ref="Z98:Z99" si="240">U98+Y98</f>
        <v>0</v>
      </c>
      <c r="AA98" s="494">
        <f t="shared" ref="AA98:AA99" si="241">ROUND((U98+Y98)*33.8%,0)</f>
        <v>0</v>
      </c>
      <c r="AB98" s="494">
        <f t="shared" ref="AB98:AB99" si="242">ROUND(U98*1%,0)</f>
        <v>0</v>
      </c>
      <c r="AC98" s="492">
        <v>0</v>
      </c>
      <c r="AD98" s="789">
        <f t="shared" ref="AD98:AD99" si="243">Z98+AA98+AB98+AC98</f>
        <v>0</v>
      </c>
      <c r="AE98" s="715">
        <v>0</v>
      </c>
      <c r="AF98" s="326">
        <v>0</v>
      </c>
      <c r="AG98" s="326">
        <v>0</v>
      </c>
      <c r="AH98" s="326">
        <v>0</v>
      </c>
      <c r="AI98" s="326">
        <v>0</v>
      </c>
      <c r="AJ98" s="326">
        <v>0</v>
      </c>
      <c r="AK98" s="626">
        <f t="shared" ref="AK98:AK99" si="244">SUM(AE98:AJ98)</f>
        <v>0</v>
      </c>
      <c r="AL98" s="493">
        <f>I98+AD98</f>
        <v>3513566</v>
      </c>
      <c r="AM98" s="492">
        <f>J98+U98</f>
        <v>2606503</v>
      </c>
      <c r="AN98" s="492">
        <f t="shared" ref="AN98:AN99" si="245">Y98</f>
        <v>0</v>
      </c>
      <c r="AO98" s="492">
        <f>K98+AA98</f>
        <v>880998</v>
      </c>
      <c r="AP98" s="492">
        <f>L98+AB98</f>
        <v>26065</v>
      </c>
      <c r="AQ98" s="492">
        <v>0</v>
      </c>
      <c r="AR98" s="491">
        <f t="shared" ref="AR98:AR99" si="246">N98+AK98</f>
        <v>4</v>
      </c>
    </row>
    <row r="99" spans="1:44" s="152" customFormat="1" x14ac:dyDescent="0.2">
      <c r="A99" s="140">
        <v>21</v>
      </c>
      <c r="B99" s="141">
        <v>4412</v>
      </c>
      <c r="C99" s="141">
        <v>600074447</v>
      </c>
      <c r="D99" s="141">
        <v>70698554</v>
      </c>
      <c r="E99" s="139" t="s">
        <v>180</v>
      </c>
      <c r="F99" s="141">
        <v>3111</v>
      </c>
      <c r="G99" s="117" t="s">
        <v>278</v>
      </c>
      <c r="H99" s="565" t="s">
        <v>263</v>
      </c>
      <c r="I99" s="586">
        <f>SUM(J99:L99)</f>
        <v>0</v>
      </c>
      <c r="J99" s="490">
        <v>0</v>
      </c>
      <c r="K99" s="55">
        <f t="shared" si="236"/>
        <v>0</v>
      </c>
      <c r="L99" s="55">
        <f t="shared" si="237"/>
        <v>0</v>
      </c>
      <c r="M99" s="55">
        <v>0</v>
      </c>
      <c r="N99" s="631">
        <v>0</v>
      </c>
      <c r="O99" s="440">
        <f>V99*-1</f>
        <v>0</v>
      </c>
      <c r="P99" s="325">
        <v>793694</v>
      </c>
      <c r="Q99" s="325">
        <v>0</v>
      </c>
      <c r="R99" s="325">
        <v>0</v>
      </c>
      <c r="S99" s="325">
        <v>0</v>
      </c>
      <c r="T99" s="325">
        <v>0</v>
      </c>
      <c r="U99" s="492">
        <f t="shared" si="238"/>
        <v>793694</v>
      </c>
      <c r="V99" s="325">
        <v>0</v>
      </c>
      <c r="W99" s="325">
        <v>0</v>
      </c>
      <c r="X99" s="325">
        <v>0</v>
      </c>
      <c r="Y99" s="492">
        <f t="shared" si="239"/>
        <v>0</v>
      </c>
      <c r="Z99" s="492">
        <f t="shared" si="240"/>
        <v>793694</v>
      </c>
      <c r="AA99" s="494">
        <f t="shared" si="241"/>
        <v>268269</v>
      </c>
      <c r="AB99" s="494">
        <f t="shared" si="242"/>
        <v>7937</v>
      </c>
      <c r="AC99" s="492">
        <v>0</v>
      </c>
      <c r="AD99" s="789">
        <f t="shared" si="243"/>
        <v>1069900</v>
      </c>
      <c r="AE99" s="715">
        <v>0</v>
      </c>
      <c r="AF99" s="326">
        <v>2</v>
      </c>
      <c r="AG99" s="326">
        <v>0</v>
      </c>
      <c r="AH99" s="326">
        <v>0</v>
      </c>
      <c r="AI99" s="326">
        <v>0</v>
      </c>
      <c r="AJ99" s="326">
        <v>0</v>
      </c>
      <c r="AK99" s="626">
        <f t="shared" si="244"/>
        <v>2</v>
      </c>
      <c r="AL99" s="493">
        <f>I99+AD99</f>
        <v>1069900</v>
      </c>
      <c r="AM99" s="492">
        <f>J99+U99</f>
        <v>793694</v>
      </c>
      <c r="AN99" s="492">
        <f t="shared" si="245"/>
        <v>0</v>
      </c>
      <c r="AO99" s="492">
        <f>K99+AA99</f>
        <v>268269</v>
      </c>
      <c r="AP99" s="492">
        <f>L99+AB99</f>
        <v>7937</v>
      </c>
      <c r="AQ99" s="492">
        <v>0</v>
      </c>
      <c r="AR99" s="491">
        <f t="shared" si="246"/>
        <v>2</v>
      </c>
    </row>
    <row r="100" spans="1:44" s="152" customFormat="1" x14ac:dyDescent="0.2">
      <c r="A100" s="107">
        <v>21</v>
      </c>
      <c r="B100" s="15">
        <v>4412</v>
      </c>
      <c r="C100" s="15">
        <v>600074447</v>
      </c>
      <c r="D100" s="15">
        <v>70698554</v>
      </c>
      <c r="E100" s="116" t="s">
        <v>181</v>
      </c>
      <c r="F100" s="15"/>
      <c r="G100" s="106"/>
      <c r="H100" s="560"/>
      <c r="I100" s="794">
        <f t="shared" ref="I100:AR100" si="247">SUM(I98:I99)</f>
        <v>3513566</v>
      </c>
      <c r="J100" s="343">
        <f t="shared" si="247"/>
        <v>2606503</v>
      </c>
      <c r="K100" s="343">
        <f t="shared" si="247"/>
        <v>880998</v>
      </c>
      <c r="L100" s="343">
        <f t="shared" si="247"/>
        <v>26065</v>
      </c>
      <c r="M100" s="343">
        <f t="shared" si="247"/>
        <v>0</v>
      </c>
      <c r="N100" s="35">
        <f t="shared" si="247"/>
        <v>4</v>
      </c>
      <c r="O100" s="346">
        <f t="shared" si="247"/>
        <v>0</v>
      </c>
      <c r="P100" s="343">
        <f t="shared" si="247"/>
        <v>793694</v>
      </c>
      <c r="Q100" s="343">
        <f t="shared" si="247"/>
        <v>0</v>
      </c>
      <c r="R100" s="343">
        <f t="shared" si="247"/>
        <v>0</v>
      </c>
      <c r="S100" s="343">
        <f t="shared" si="247"/>
        <v>0</v>
      </c>
      <c r="T100" s="343">
        <f t="shared" si="247"/>
        <v>0</v>
      </c>
      <c r="U100" s="343">
        <f t="shared" si="247"/>
        <v>793694</v>
      </c>
      <c r="V100" s="343">
        <f t="shared" si="247"/>
        <v>0</v>
      </c>
      <c r="W100" s="343">
        <f t="shared" si="247"/>
        <v>0</v>
      </c>
      <c r="X100" s="343">
        <f t="shared" si="247"/>
        <v>0</v>
      </c>
      <c r="Y100" s="343">
        <f t="shared" si="247"/>
        <v>0</v>
      </c>
      <c r="Z100" s="343">
        <f t="shared" si="247"/>
        <v>793694</v>
      </c>
      <c r="AA100" s="343">
        <f t="shared" si="247"/>
        <v>268269</v>
      </c>
      <c r="AB100" s="343">
        <f t="shared" si="247"/>
        <v>7937</v>
      </c>
      <c r="AC100" s="343">
        <f t="shared" si="247"/>
        <v>0</v>
      </c>
      <c r="AD100" s="799">
        <f t="shared" si="247"/>
        <v>1069900</v>
      </c>
      <c r="AE100" s="803">
        <f t="shared" si="247"/>
        <v>0</v>
      </c>
      <c r="AF100" s="344">
        <f t="shared" si="247"/>
        <v>2</v>
      </c>
      <c r="AG100" s="344">
        <f t="shared" si="247"/>
        <v>0</v>
      </c>
      <c r="AH100" s="344">
        <f t="shared" si="247"/>
        <v>0</v>
      </c>
      <c r="AI100" s="344">
        <f t="shared" si="247"/>
        <v>0</v>
      </c>
      <c r="AJ100" s="344">
        <f t="shared" si="247"/>
        <v>0</v>
      </c>
      <c r="AK100" s="35">
        <f t="shared" si="247"/>
        <v>2</v>
      </c>
      <c r="AL100" s="346">
        <f t="shared" si="247"/>
        <v>4583466</v>
      </c>
      <c r="AM100" s="343">
        <f t="shared" si="247"/>
        <v>3400197</v>
      </c>
      <c r="AN100" s="343">
        <f t="shared" si="247"/>
        <v>0</v>
      </c>
      <c r="AO100" s="343">
        <f t="shared" si="247"/>
        <v>1149267</v>
      </c>
      <c r="AP100" s="343">
        <f t="shared" si="247"/>
        <v>34002</v>
      </c>
      <c r="AQ100" s="343">
        <f t="shared" si="247"/>
        <v>0</v>
      </c>
      <c r="AR100" s="344">
        <f t="shared" si="247"/>
        <v>6</v>
      </c>
    </row>
    <row r="101" spans="1:44" s="152" customFormat="1" x14ac:dyDescent="0.2">
      <c r="A101" s="140">
        <v>22</v>
      </c>
      <c r="B101" s="141">
        <v>4413</v>
      </c>
      <c r="C101" s="141">
        <v>600074455</v>
      </c>
      <c r="D101" s="141">
        <v>70695369</v>
      </c>
      <c r="E101" s="139" t="s">
        <v>182</v>
      </c>
      <c r="F101" s="141">
        <v>3111</v>
      </c>
      <c r="G101" s="117" t="s">
        <v>277</v>
      </c>
      <c r="H101" s="565" t="s">
        <v>262</v>
      </c>
      <c r="I101" s="586">
        <f>SUM(J101:L101)</f>
        <v>9301225</v>
      </c>
      <c r="J101" s="490">
        <v>6900019</v>
      </c>
      <c r="K101" s="55">
        <f t="shared" ref="K101:K103" si="248">ROUND(J101*33.8%,0)</f>
        <v>2332206</v>
      </c>
      <c r="L101" s="55">
        <f t="shared" ref="L101:L103" si="249">ROUND(J101*1%,0)</f>
        <v>69000</v>
      </c>
      <c r="M101" s="55">
        <v>0</v>
      </c>
      <c r="N101" s="631">
        <v>11</v>
      </c>
      <c r="O101" s="445">
        <f>V101*-1</f>
        <v>0</v>
      </c>
      <c r="P101" s="325">
        <v>0</v>
      </c>
      <c r="Q101" s="325">
        <v>0</v>
      </c>
      <c r="R101" s="325">
        <v>0</v>
      </c>
      <c r="S101" s="325">
        <v>0</v>
      </c>
      <c r="T101" s="325">
        <v>0</v>
      </c>
      <c r="U101" s="492">
        <f t="shared" ref="U101:U103" si="250">O101+P101+Q101+R101+S101+T101</f>
        <v>0</v>
      </c>
      <c r="V101" s="325">
        <v>0</v>
      </c>
      <c r="W101" s="325">
        <v>0</v>
      </c>
      <c r="X101" s="325">
        <v>0</v>
      </c>
      <c r="Y101" s="492">
        <f t="shared" ref="Y101:Y103" si="251">V101+W101+X101</f>
        <v>0</v>
      </c>
      <c r="Z101" s="492">
        <f t="shared" ref="Z101:Z103" si="252">U101+Y101</f>
        <v>0</v>
      </c>
      <c r="AA101" s="494">
        <f t="shared" ref="AA101:AA103" si="253">ROUND((U101+Y101)*33.8%,0)</f>
        <v>0</v>
      </c>
      <c r="AB101" s="494">
        <f t="shared" ref="AB101:AB103" si="254">ROUND(U101*1%,0)</f>
        <v>0</v>
      </c>
      <c r="AC101" s="492">
        <v>0</v>
      </c>
      <c r="AD101" s="789">
        <f t="shared" ref="AD101:AD103" si="255">Z101+AA101+AB101+AC101</f>
        <v>0</v>
      </c>
      <c r="AE101" s="715">
        <v>0</v>
      </c>
      <c r="AF101" s="326">
        <v>0</v>
      </c>
      <c r="AG101" s="326">
        <v>0</v>
      </c>
      <c r="AH101" s="326">
        <v>0</v>
      </c>
      <c r="AI101" s="326">
        <v>0</v>
      </c>
      <c r="AJ101" s="326">
        <v>0</v>
      </c>
      <c r="AK101" s="626">
        <f t="shared" ref="AK101:AK103" si="256">SUM(AE101:AJ101)</f>
        <v>0</v>
      </c>
      <c r="AL101" s="493">
        <f>I101+AD101</f>
        <v>9301225</v>
      </c>
      <c r="AM101" s="492">
        <f>J101+U101</f>
        <v>6900019</v>
      </c>
      <c r="AN101" s="492">
        <f t="shared" ref="AN101:AN103" si="257">Y101</f>
        <v>0</v>
      </c>
      <c r="AO101" s="492">
        <f t="shared" ref="AO101:AP103" si="258">K101+AA101</f>
        <v>2332206</v>
      </c>
      <c r="AP101" s="492">
        <f t="shared" si="258"/>
        <v>69000</v>
      </c>
      <c r="AQ101" s="492">
        <v>0</v>
      </c>
      <c r="AR101" s="491">
        <f t="shared" ref="AR101:AR103" si="259">N101+AK101</f>
        <v>11</v>
      </c>
    </row>
    <row r="102" spans="1:44" s="152" customFormat="1" x14ac:dyDescent="0.2">
      <c r="A102" s="140">
        <v>22</v>
      </c>
      <c r="B102" s="141">
        <v>4413</v>
      </c>
      <c r="C102" s="141">
        <v>600074455</v>
      </c>
      <c r="D102" s="141">
        <v>70695369</v>
      </c>
      <c r="E102" s="139" t="s">
        <v>182</v>
      </c>
      <c r="F102" s="141">
        <v>3111</v>
      </c>
      <c r="G102" s="117" t="s">
        <v>278</v>
      </c>
      <c r="H102" s="565" t="s">
        <v>263</v>
      </c>
      <c r="I102" s="586">
        <f>SUM(J102:L102)</f>
        <v>0</v>
      </c>
      <c r="J102" s="490">
        <v>0</v>
      </c>
      <c r="K102" s="55">
        <f t="shared" si="248"/>
        <v>0</v>
      </c>
      <c r="L102" s="55">
        <f t="shared" si="249"/>
        <v>0</v>
      </c>
      <c r="M102" s="55">
        <v>0</v>
      </c>
      <c r="N102" s="631">
        <v>0</v>
      </c>
      <c r="O102" s="440">
        <f>V102*-1</f>
        <v>0</v>
      </c>
      <c r="P102" s="325">
        <v>1885024</v>
      </c>
      <c r="Q102" s="325">
        <v>0</v>
      </c>
      <c r="R102" s="325">
        <v>0</v>
      </c>
      <c r="S102" s="325">
        <v>0</v>
      </c>
      <c r="T102" s="325">
        <v>0</v>
      </c>
      <c r="U102" s="492">
        <f t="shared" si="250"/>
        <v>1885024</v>
      </c>
      <c r="V102" s="325">
        <v>0</v>
      </c>
      <c r="W102" s="325">
        <v>0</v>
      </c>
      <c r="X102" s="325">
        <v>0</v>
      </c>
      <c r="Y102" s="492">
        <f t="shared" si="251"/>
        <v>0</v>
      </c>
      <c r="Z102" s="492">
        <f t="shared" si="252"/>
        <v>1885024</v>
      </c>
      <c r="AA102" s="494">
        <f t="shared" si="253"/>
        <v>637138</v>
      </c>
      <c r="AB102" s="494">
        <f t="shared" si="254"/>
        <v>18850</v>
      </c>
      <c r="AC102" s="492">
        <v>0</v>
      </c>
      <c r="AD102" s="789">
        <f t="shared" si="255"/>
        <v>2541012</v>
      </c>
      <c r="AE102" s="715">
        <v>0</v>
      </c>
      <c r="AF102" s="326">
        <v>4.75</v>
      </c>
      <c r="AG102" s="326">
        <v>0</v>
      </c>
      <c r="AH102" s="326">
        <v>0</v>
      </c>
      <c r="AI102" s="326">
        <v>0</v>
      </c>
      <c r="AJ102" s="326">
        <v>0</v>
      </c>
      <c r="AK102" s="626">
        <f t="shared" si="256"/>
        <v>4.75</v>
      </c>
      <c r="AL102" s="493">
        <f>I102+AD102</f>
        <v>2541012</v>
      </c>
      <c r="AM102" s="492">
        <f>J102+U102</f>
        <v>1885024</v>
      </c>
      <c r="AN102" s="492">
        <f t="shared" si="257"/>
        <v>0</v>
      </c>
      <c r="AO102" s="492">
        <f t="shared" si="258"/>
        <v>637138</v>
      </c>
      <c r="AP102" s="492">
        <f t="shared" si="258"/>
        <v>18850</v>
      </c>
      <c r="AQ102" s="492">
        <v>0</v>
      </c>
      <c r="AR102" s="491">
        <f t="shared" si="259"/>
        <v>4.75</v>
      </c>
    </row>
    <row r="103" spans="1:44" s="152" customFormat="1" x14ac:dyDescent="0.2">
      <c r="A103" s="140">
        <v>22</v>
      </c>
      <c r="B103" s="141">
        <v>4413</v>
      </c>
      <c r="C103" s="141">
        <v>600074455</v>
      </c>
      <c r="D103" s="141">
        <v>70695369</v>
      </c>
      <c r="E103" s="139" t="s">
        <v>182</v>
      </c>
      <c r="F103" s="141">
        <v>3143</v>
      </c>
      <c r="G103" s="117" t="s">
        <v>794</v>
      </c>
      <c r="H103" s="157" t="s">
        <v>262</v>
      </c>
      <c r="I103" s="586">
        <f>SUM(J103:L103)</f>
        <v>1341239</v>
      </c>
      <c r="J103" s="490">
        <v>994984</v>
      </c>
      <c r="K103" s="55">
        <f t="shared" si="248"/>
        <v>336305</v>
      </c>
      <c r="L103" s="55">
        <f t="shared" si="249"/>
        <v>9950</v>
      </c>
      <c r="M103" s="55">
        <v>0</v>
      </c>
      <c r="N103" s="631">
        <v>2</v>
      </c>
      <c r="O103" s="440">
        <f>V103*-1</f>
        <v>0</v>
      </c>
      <c r="P103" s="325">
        <v>0</v>
      </c>
      <c r="Q103" s="325">
        <v>0</v>
      </c>
      <c r="R103" s="325">
        <v>0</v>
      </c>
      <c r="S103" s="325">
        <v>0</v>
      </c>
      <c r="T103" s="325">
        <v>0</v>
      </c>
      <c r="U103" s="492">
        <f t="shared" si="250"/>
        <v>0</v>
      </c>
      <c r="V103" s="325">
        <v>0</v>
      </c>
      <c r="W103" s="325">
        <v>0</v>
      </c>
      <c r="X103" s="325">
        <v>0</v>
      </c>
      <c r="Y103" s="492">
        <f t="shared" si="251"/>
        <v>0</v>
      </c>
      <c r="Z103" s="492">
        <f t="shared" si="252"/>
        <v>0</v>
      </c>
      <c r="AA103" s="494">
        <f t="shared" si="253"/>
        <v>0</v>
      </c>
      <c r="AB103" s="494">
        <f t="shared" si="254"/>
        <v>0</v>
      </c>
      <c r="AC103" s="492">
        <v>0</v>
      </c>
      <c r="AD103" s="789">
        <f t="shared" si="255"/>
        <v>0</v>
      </c>
      <c r="AE103" s="715">
        <v>0</v>
      </c>
      <c r="AF103" s="326">
        <v>0</v>
      </c>
      <c r="AG103" s="326">
        <v>0</v>
      </c>
      <c r="AH103" s="326">
        <v>0</v>
      </c>
      <c r="AI103" s="326">
        <v>0</v>
      </c>
      <c r="AJ103" s="326">
        <v>0</v>
      </c>
      <c r="AK103" s="626">
        <f t="shared" si="256"/>
        <v>0</v>
      </c>
      <c r="AL103" s="493">
        <f>I103+AD103</f>
        <v>1341239</v>
      </c>
      <c r="AM103" s="492">
        <f>J103+U103</f>
        <v>994984</v>
      </c>
      <c r="AN103" s="492">
        <f t="shared" si="257"/>
        <v>0</v>
      </c>
      <c r="AO103" s="492">
        <f t="shared" si="258"/>
        <v>336305</v>
      </c>
      <c r="AP103" s="492">
        <f t="shared" si="258"/>
        <v>9950</v>
      </c>
      <c r="AQ103" s="492">
        <v>0</v>
      </c>
      <c r="AR103" s="491">
        <f t="shared" si="259"/>
        <v>2</v>
      </c>
    </row>
    <row r="104" spans="1:44" s="152" customFormat="1" x14ac:dyDescent="0.2">
      <c r="A104" s="107">
        <v>22</v>
      </c>
      <c r="B104" s="15">
        <v>4413</v>
      </c>
      <c r="C104" s="15">
        <v>600074455</v>
      </c>
      <c r="D104" s="15">
        <v>70695369</v>
      </c>
      <c r="E104" s="116" t="s">
        <v>183</v>
      </c>
      <c r="F104" s="15"/>
      <c r="G104" s="106"/>
      <c r="H104" s="560"/>
      <c r="I104" s="794">
        <f t="shared" ref="I104:AR104" si="260">SUM(I101:I103)</f>
        <v>10642464</v>
      </c>
      <c r="J104" s="343">
        <f t="shared" si="260"/>
        <v>7895003</v>
      </c>
      <c r="K104" s="343">
        <f t="shared" si="260"/>
        <v>2668511</v>
      </c>
      <c r="L104" s="343">
        <f t="shared" si="260"/>
        <v>78950</v>
      </c>
      <c r="M104" s="343">
        <f t="shared" si="260"/>
        <v>0</v>
      </c>
      <c r="N104" s="35">
        <f t="shared" si="260"/>
        <v>13</v>
      </c>
      <c r="O104" s="346">
        <f t="shared" si="260"/>
        <v>0</v>
      </c>
      <c r="P104" s="343">
        <f t="shared" si="260"/>
        <v>1885024</v>
      </c>
      <c r="Q104" s="343">
        <f t="shared" si="260"/>
        <v>0</v>
      </c>
      <c r="R104" s="343">
        <f t="shared" si="260"/>
        <v>0</v>
      </c>
      <c r="S104" s="343">
        <f t="shared" si="260"/>
        <v>0</v>
      </c>
      <c r="T104" s="343">
        <f t="shared" si="260"/>
        <v>0</v>
      </c>
      <c r="U104" s="343">
        <f t="shared" si="260"/>
        <v>1885024</v>
      </c>
      <c r="V104" s="343">
        <f t="shared" si="260"/>
        <v>0</v>
      </c>
      <c r="W104" s="343">
        <f t="shared" si="260"/>
        <v>0</v>
      </c>
      <c r="X104" s="343">
        <f t="shared" si="260"/>
        <v>0</v>
      </c>
      <c r="Y104" s="343">
        <f t="shared" si="260"/>
        <v>0</v>
      </c>
      <c r="Z104" s="343">
        <f t="shared" si="260"/>
        <v>1885024</v>
      </c>
      <c r="AA104" s="343">
        <f t="shared" si="260"/>
        <v>637138</v>
      </c>
      <c r="AB104" s="343">
        <f t="shared" si="260"/>
        <v>18850</v>
      </c>
      <c r="AC104" s="343">
        <f t="shared" si="260"/>
        <v>0</v>
      </c>
      <c r="AD104" s="799">
        <f t="shared" si="260"/>
        <v>2541012</v>
      </c>
      <c r="AE104" s="803">
        <f t="shared" si="260"/>
        <v>0</v>
      </c>
      <c r="AF104" s="344">
        <f t="shared" si="260"/>
        <v>4.75</v>
      </c>
      <c r="AG104" s="344">
        <f t="shared" si="260"/>
        <v>0</v>
      </c>
      <c r="AH104" s="344">
        <f t="shared" si="260"/>
        <v>0</v>
      </c>
      <c r="AI104" s="344">
        <f t="shared" si="260"/>
        <v>0</v>
      </c>
      <c r="AJ104" s="344">
        <f t="shared" si="260"/>
        <v>0</v>
      </c>
      <c r="AK104" s="35">
        <f t="shared" si="260"/>
        <v>4.75</v>
      </c>
      <c r="AL104" s="346">
        <f t="shared" si="260"/>
        <v>13183476</v>
      </c>
      <c r="AM104" s="343">
        <f t="shared" si="260"/>
        <v>9780027</v>
      </c>
      <c r="AN104" s="343">
        <f t="shared" si="260"/>
        <v>0</v>
      </c>
      <c r="AO104" s="343">
        <f t="shared" si="260"/>
        <v>3305649</v>
      </c>
      <c r="AP104" s="343">
        <f t="shared" si="260"/>
        <v>97800</v>
      </c>
      <c r="AQ104" s="343">
        <f t="shared" si="260"/>
        <v>0</v>
      </c>
      <c r="AR104" s="344">
        <f t="shared" si="260"/>
        <v>17.75</v>
      </c>
    </row>
    <row r="105" spans="1:44" s="152" customFormat="1" x14ac:dyDescent="0.2">
      <c r="A105" s="140">
        <v>23</v>
      </c>
      <c r="B105" s="141">
        <v>4429</v>
      </c>
      <c r="C105" s="141">
        <v>600074595</v>
      </c>
      <c r="D105" s="141">
        <v>70698520</v>
      </c>
      <c r="E105" s="139" t="s">
        <v>184</v>
      </c>
      <c r="F105" s="141">
        <v>3111</v>
      </c>
      <c r="G105" s="117" t="s">
        <v>277</v>
      </c>
      <c r="H105" s="565" t="s">
        <v>262</v>
      </c>
      <c r="I105" s="586">
        <f>SUM(J105:L105)</f>
        <v>1535584</v>
      </c>
      <c r="J105" s="490">
        <v>1139157</v>
      </c>
      <c r="K105" s="55">
        <f t="shared" ref="K105:K108" si="261">ROUND(J105*33.8%,0)</f>
        <v>385035</v>
      </c>
      <c r="L105" s="55">
        <f t="shared" ref="L105:L108" si="262">ROUND(J105*1%,0)</f>
        <v>11392</v>
      </c>
      <c r="M105" s="55">
        <v>0</v>
      </c>
      <c r="N105" s="631">
        <v>2</v>
      </c>
      <c r="O105" s="445">
        <f t="shared" ref="O105:O108" si="263">V105*-1</f>
        <v>-3000</v>
      </c>
      <c r="P105" s="325">
        <v>0</v>
      </c>
      <c r="Q105" s="325">
        <v>0</v>
      </c>
      <c r="R105" s="325">
        <v>0</v>
      </c>
      <c r="S105" s="325">
        <v>0</v>
      </c>
      <c r="T105" s="325">
        <v>0</v>
      </c>
      <c r="U105" s="492">
        <f t="shared" ref="U105:U108" si="264">O105+P105+Q105+R105+S105+T105</f>
        <v>-3000</v>
      </c>
      <c r="V105" s="325">
        <v>3000</v>
      </c>
      <c r="W105" s="325">
        <v>0</v>
      </c>
      <c r="X105" s="325">
        <v>0</v>
      </c>
      <c r="Y105" s="492">
        <f t="shared" ref="Y105:Y108" si="265">V105+W105+X105</f>
        <v>3000</v>
      </c>
      <c r="Z105" s="492">
        <f t="shared" ref="Z105:Z108" si="266">U105+Y105</f>
        <v>0</v>
      </c>
      <c r="AA105" s="494">
        <f t="shared" ref="AA105:AA108" si="267">ROUND((U105+Y105)*33.8%,0)</f>
        <v>0</v>
      </c>
      <c r="AB105" s="494">
        <f t="shared" ref="AB105:AB108" si="268">ROUND(U105*1%,0)</f>
        <v>-30</v>
      </c>
      <c r="AC105" s="492">
        <v>0</v>
      </c>
      <c r="AD105" s="789">
        <f t="shared" ref="AD105:AD108" si="269">Z105+AA105+AB105+AC105</f>
        <v>-30</v>
      </c>
      <c r="AE105" s="715">
        <v>-0.01</v>
      </c>
      <c r="AF105" s="326">
        <v>0</v>
      </c>
      <c r="AG105" s="326">
        <v>0</v>
      </c>
      <c r="AH105" s="326">
        <v>0</v>
      </c>
      <c r="AI105" s="326">
        <v>0</v>
      </c>
      <c r="AJ105" s="326">
        <v>0</v>
      </c>
      <c r="AK105" s="626">
        <f t="shared" ref="AK105:AK108" si="270">SUM(AE105:AJ105)</f>
        <v>-0.01</v>
      </c>
      <c r="AL105" s="493">
        <f>I105+AD105</f>
        <v>1535554</v>
      </c>
      <c r="AM105" s="492">
        <f>J105+U105</f>
        <v>1136157</v>
      </c>
      <c r="AN105" s="492">
        <f t="shared" ref="AN105:AN108" si="271">Y105</f>
        <v>3000</v>
      </c>
      <c r="AO105" s="492">
        <f t="shared" ref="AO105:AP108" si="272">K105+AA105</f>
        <v>385035</v>
      </c>
      <c r="AP105" s="492">
        <f t="shared" si="272"/>
        <v>11362</v>
      </c>
      <c r="AQ105" s="492">
        <v>0</v>
      </c>
      <c r="AR105" s="491">
        <f t="shared" ref="AR105:AR108" si="273">N105+AK105</f>
        <v>1.99</v>
      </c>
    </row>
    <row r="106" spans="1:44" s="152" customFormat="1" x14ac:dyDescent="0.2">
      <c r="A106" s="140">
        <v>23</v>
      </c>
      <c r="B106" s="141">
        <v>4429</v>
      </c>
      <c r="C106" s="141">
        <v>600074595</v>
      </c>
      <c r="D106" s="141">
        <v>70698520</v>
      </c>
      <c r="E106" s="139" t="s">
        <v>184</v>
      </c>
      <c r="F106" s="141">
        <v>3117</v>
      </c>
      <c r="G106" s="117" t="s">
        <v>280</v>
      </c>
      <c r="H106" s="565" t="s">
        <v>262</v>
      </c>
      <c r="I106" s="586">
        <f>SUM(J106:L106)</f>
        <v>3036442</v>
      </c>
      <c r="J106" s="490">
        <v>2252554</v>
      </c>
      <c r="K106" s="55">
        <f t="shared" si="261"/>
        <v>761363</v>
      </c>
      <c r="L106" s="55">
        <f>ROUND(J106*1%,0)-1</f>
        <v>22525</v>
      </c>
      <c r="M106" s="55">
        <v>0</v>
      </c>
      <c r="N106" s="631">
        <v>3.45</v>
      </c>
      <c r="O106" s="440">
        <f t="shared" si="263"/>
        <v>-9000</v>
      </c>
      <c r="P106" s="325">
        <v>0</v>
      </c>
      <c r="Q106" s="325">
        <v>0</v>
      </c>
      <c r="R106" s="325">
        <v>0</v>
      </c>
      <c r="S106" s="325">
        <v>0</v>
      </c>
      <c r="T106" s="325">
        <v>0</v>
      </c>
      <c r="U106" s="492">
        <f t="shared" si="264"/>
        <v>-9000</v>
      </c>
      <c r="V106" s="325">
        <v>9000</v>
      </c>
      <c r="W106" s="325">
        <v>0</v>
      </c>
      <c r="X106" s="325">
        <v>0</v>
      </c>
      <c r="Y106" s="492">
        <f t="shared" si="265"/>
        <v>9000</v>
      </c>
      <c r="Z106" s="492">
        <f t="shared" si="266"/>
        <v>0</v>
      </c>
      <c r="AA106" s="494">
        <f t="shared" si="267"/>
        <v>0</v>
      </c>
      <c r="AB106" s="494">
        <f t="shared" si="268"/>
        <v>-90</v>
      </c>
      <c r="AC106" s="492">
        <v>0</v>
      </c>
      <c r="AD106" s="789">
        <f t="shared" si="269"/>
        <v>-90</v>
      </c>
      <c r="AE106" s="715">
        <v>-0.01</v>
      </c>
      <c r="AF106" s="326">
        <v>0</v>
      </c>
      <c r="AG106" s="326">
        <v>0</v>
      </c>
      <c r="AH106" s="326">
        <v>0</v>
      </c>
      <c r="AI106" s="326">
        <v>0</v>
      </c>
      <c r="AJ106" s="326">
        <v>0</v>
      </c>
      <c r="AK106" s="626">
        <f t="shared" si="270"/>
        <v>-0.01</v>
      </c>
      <c r="AL106" s="493">
        <f>I106+AD106</f>
        <v>3036352</v>
      </c>
      <c r="AM106" s="492">
        <f>J106+U106</f>
        <v>2243554</v>
      </c>
      <c r="AN106" s="492">
        <f t="shared" si="271"/>
        <v>9000</v>
      </c>
      <c r="AO106" s="492">
        <f t="shared" si="272"/>
        <v>761363</v>
      </c>
      <c r="AP106" s="492">
        <f t="shared" si="272"/>
        <v>22435</v>
      </c>
      <c r="AQ106" s="492">
        <v>0</v>
      </c>
      <c r="AR106" s="491">
        <f t="shared" si="273"/>
        <v>3.4400000000000004</v>
      </c>
    </row>
    <row r="107" spans="1:44" s="152" customFormat="1" x14ac:dyDescent="0.2">
      <c r="A107" s="140">
        <v>23</v>
      </c>
      <c r="B107" s="141">
        <v>4429</v>
      </c>
      <c r="C107" s="141">
        <v>600074595</v>
      </c>
      <c r="D107" s="141">
        <v>70698520</v>
      </c>
      <c r="E107" s="139" t="s">
        <v>184</v>
      </c>
      <c r="F107" s="141">
        <v>3117</v>
      </c>
      <c r="G107" s="117" t="s">
        <v>278</v>
      </c>
      <c r="H107" s="565" t="s">
        <v>263</v>
      </c>
      <c r="I107" s="586">
        <f>SUM(J107:L107)</f>
        <v>0</v>
      </c>
      <c r="J107" s="490">
        <v>0</v>
      </c>
      <c r="K107" s="55">
        <f t="shared" si="261"/>
        <v>0</v>
      </c>
      <c r="L107" s="55">
        <f t="shared" si="262"/>
        <v>0</v>
      </c>
      <c r="M107" s="55">
        <v>0</v>
      </c>
      <c r="N107" s="631">
        <v>0</v>
      </c>
      <c r="O107" s="440">
        <f t="shared" si="263"/>
        <v>0</v>
      </c>
      <c r="P107" s="325">
        <v>694484</v>
      </c>
      <c r="Q107" s="325">
        <v>0</v>
      </c>
      <c r="R107" s="325">
        <v>0</v>
      </c>
      <c r="S107" s="325">
        <v>0</v>
      </c>
      <c r="T107" s="325">
        <v>0</v>
      </c>
      <c r="U107" s="492">
        <f t="shared" si="264"/>
        <v>694484</v>
      </c>
      <c r="V107" s="325">
        <v>0</v>
      </c>
      <c r="W107" s="325">
        <v>0</v>
      </c>
      <c r="X107" s="325">
        <v>0</v>
      </c>
      <c r="Y107" s="492">
        <f t="shared" si="265"/>
        <v>0</v>
      </c>
      <c r="Z107" s="492">
        <f t="shared" si="266"/>
        <v>694484</v>
      </c>
      <c r="AA107" s="494">
        <f t="shared" si="267"/>
        <v>234736</v>
      </c>
      <c r="AB107" s="494">
        <f t="shared" si="268"/>
        <v>6945</v>
      </c>
      <c r="AC107" s="492">
        <v>0</v>
      </c>
      <c r="AD107" s="789">
        <f t="shared" si="269"/>
        <v>936165</v>
      </c>
      <c r="AE107" s="715">
        <v>0</v>
      </c>
      <c r="AF107" s="326">
        <v>1.75</v>
      </c>
      <c r="AG107" s="326">
        <v>0</v>
      </c>
      <c r="AH107" s="326">
        <v>0</v>
      </c>
      <c r="AI107" s="326">
        <v>0</v>
      </c>
      <c r="AJ107" s="326">
        <v>0</v>
      </c>
      <c r="AK107" s="626">
        <f t="shared" si="270"/>
        <v>1.75</v>
      </c>
      <c r="AL107" s="493">
        <f>I107+AD107</f>
        <v>936165</v>
      </c>
      <c r="AM107" s="492">
        <f>J107+U107</f>
        <v>694484</v>
      </c>
      <c r="AN107" s="492">
        <f t="shared" si="271"/>
        <v>0</v>
      </c>
      <c r="AO107" s="492">
        <f t="shared" si="272"/>
        <v>234736</v>
      </c>
      <c r="AP107" s="492">
        <f t="shared" si="272"/>
        <v>6945</v>
      </c>
      <c r="AQ107" s="492">
        <v>0</v>
      </c>
      <c r="AR107" s="491">
        <f t="shared" si="273"/>
        <v>1.75</v>
      </c>
    </row>
    <row r="108" spans="1:44" s="152" customFormat="1" x14ac:dyDescent="0.2">
      <c r="A108" s="140">
        <v>23</v>
      </c>
      <c r="B108" s="141">
        <v>4429</v>
      </c>
      <c r="C108" s="141">
        <v>600074595</v>
      </c>
      <c r="D108" s="141">
        <v>70698520</v>
      </c>
      <c r="E108" s="139" t="s">
        <v>184</v>
      </c>
      <c r="F108" s="141">
        <v>3143</v>
      </c>
      <c r="G108" s="117" t="s">
        <v>794</v>
      </c>
      <c r="H108" s="157" t="s">
        <v>262</v>
      </c>
      <c r="I108" s="586">
        <f>SUM(J108:L108)</f>
        <v>1006951</v>
      </c>
      <c r="J108" s="490">
        <v>746996</v>
      </c>
      <c r="K108" s="55">
        <f t="shared" si="261"/>
        <v>252485</v>
      </c>
      <c r="L108" s="55">
        <f t="shared" si="262"/>
        <v>7470</v>
      </c>
      <c r="M108" s="55">
        <v>0</v>
      </c>
      <c r="N108" s="631">
        <v>1.54</v>
      </c>
      <c r="O108" s="440">
        <f t="shared" si="263"/>
        <v>-3000</v>
      </c>
      <c r="P108" s="325">
        <v>0</v>
      </c>
      <c r="Q108" s="325">
        <v>0</v>
      </c>
      <c r="R108" s="325">
        <v>0</v>
      </c>
      <c r="S108" s="325">
        <v>0</v>
      </c>
      <c r="T108" s="325">
        <v>0</v>
      </c>
      <c r="U108" s="492">
        <f t="shared" si="264"/>
        <v>-3000</v>
      </c>
      <c r="V108" s="325">
        <v>3000</v>
      </c>
      <c r="W108" s="325">
        <v>0</v>
      </c>
      <c r="X108" s="325">
        <v>0</v>
      </c>
      <c r="Y108" s="492">
        <f t="shared" si="265"/>
        <v>3000</v>
      </c>
      <c r="Z108" s="492">
        <f t="shared" si="266"/>
        <v>0</v>
      </c>
      <c r="AA108" s="494">
        <f t="shared" si="267"/>
        <v>0</v>
      </c>
      <c r="AB108" s="494">
        <f t="shared" si="268"/>
        <v>-30</v>
      </c>
      <c r="AC108" s="492">
        <v>0</v>
      </c>
      <c r="AD108" s="789">
        <f t="shared" si="269"/>
        <v>-30</v>
      </c>
      <c r="AE108" s="715">
        <v>-0.01</v>
      </c>
      <c r="AF108" s="326">
        <v>0</v>
      </c>
      <c r="AG108" s="326">
        <v>0</v>
      </c>
      <c r="AH108" s="326">
        <v>0</v>
      </c>
      <c r="AI108" s="326">
        <v>0</v>
      </c>
      <c r="AJ108" s="326">
        <v>0</v>
      </c>
      <c r="AK108" s="626">
        <f t="shared" si="270"/>
        <v>-0.01</v>
      </c>
      <c r="AL108" s="493">
        <f>I108+AD108</f>
        <v>1006921</v>
      </c>
      <c r="AM108" s="492">
        <f>J108+U108</f>
        <v>743996</v>
      </c>
      <c r="AN108" s="492">
        <f t="shared" si="271"/>
        <v>3000</v>
      </c>
      <c r="AO108" s="492">
        <f t="shared" si="272"/>
        <v>252485</v>
      </c>
      <c r="AP108" s="492">
        <f t="shared" si="272"/>
        <v>7440</v>
      </c>
      <c r="AQ108" s="492">
        <v>0</v>
      </c>
      <c r="AR108" s="491">
        <f t="shared" si="273"/>
        <v>1.53</v>
      </c>
    </row>
    <row r="109" spans="1:44" s="152" customFormat="1" x14ac:dyDescent="0.2">
      <c r="A109" s="107">
        <v>23</v>
      </c>
      <c r="B109" s="15">
        <v>4429</v>
      </c>
      <c r="C109" s="15">
        <v>600074595</v>
      </c>
      <c r="D109" s="15">
        <v>70698520</v>
      </c>
      <c r="E109" s="116" t="s">
        <v>185</v>
      </c>
      <c r="F109" s="15"/>
      <c r="G109" s="106"/>
      <c r="H109" s="560"/>
      <c r="I109" s="794">
        <f t="shared" ref="I109:AR109" si="274">SUM(I105:I108)</f>
        <v>5578977</v>
      </c>
      <c r="J109" s="343">
        <f t="shared" si="274"/>
        <v>4138707</v>
      </c>
      <c r="K109" s="343">
        <f t="shared" si="274"/>
        <v>1398883</v>
      </c>
      <c r="L109" s="343">
        <f t="shared" si="274"/>
        <v>41387</v>
      </c>
      <c r="M109" s="343">
        <f t="shared" si="274"/>
        <v>0</v>
      </c>
      <c r="N109" s="35">
        <f t="shared" si="274"/>
        <v>6.99</v>
      </c>
      <c r="O109" s="346">
        <f t="shared" si="274"/>
        <v>-15000</v>
      </c>
      <c r="P109" s="343">
        <f t="shared" si="274"/>
        <v>694484</v>
      </c>
      <c r="Q109" s="343">
        <f t="shared" si="274"/>
        <v>0</v>
      </c>
      <c r="R109" s="343">
        <f t="shared" si="274"/>
        <v>0</v>
      </c>
      <c r="S109" s="343">
        <f t="shared" si="274"/>
        <v>0</v>
      </c>
      <c r="T109" s="343">
        <f t="shared" si="274"/>
        <v>0</v>
      </c>
      <c r="U109" s="343">
        <f t="shared" si="274"/>
        <v>679484</v>
      </c>
      <c r="V109" s="343">
        <f t="shared" si="274"/>
        <v>15000</v>
      </c>
      <c r="W109" s="343">
        <f t="shared" si="274"/>
        <v>0</v>
      </c>
      <c r="X109" s="343">
        <f t="shared" si="274"/>
        <v>0</v>
      </c>
      <c r="Y109" s="343">
        <f t="shared" si="274"/>
        <v>15000</v>
      </c>
      <c r="Z109" s="343">
        <f t="shared" si="274"/>
        <v>694484</v>
      </c>
      <c r="AA109" s="343">
        <f t="shared" si="274"/>
        <v>234736</v>
      </c>
      <c r="AB109" s="343">
        <f t="shared" si="274"/>
        <v>6795</v>
      </c>
      <c r="AC109" s="343">
        <f t="shared" si="274"/>
        <v>0</v>
      </c>
      <c r="AD109" s="799">
        <f t="shared" si="274"/>
        <v>936015</v>
      </c>
      <c r="AE109" s="803">
        <f t="shared" si="274"/>
        <v>-0.03</v>
      </c>
      <c r="AF109" s="344">
        <f t="shared" si="274"/>
        <v>1.75</v>
      </c>
      <c r="AG109" s="344">
        <f t="shared" si="274"/>
        <v>0</v>
      </c>
      <c r="AH109" s="344">
        <f t="shared" si="274"/>
        <v>0</v>
      </c>
      <c r="AI109" s="344">
        <f t="shared" si="274"/>
        <v>0</v>
      </c>
      <c r="AJ109" s="344">
        <f t="shared" si="274"/>
        <v>0</v>
      </c>
      <c r="AK109" s="35">
        <f t="shared" si="274"/>
        <v>1.72</v>
      </c>
      <c r="AL109" s="346">
        <f t="shared" si="274"/>
        <v>6514992</v>
      </c>
      <c r="AM109" s="343">
        <f t="shared" si="274"/>
        <v>4818191</v>
      </c>
      <c r="AN109" s="343">
        <f t="shared" si="274"/>
        <v>15000</v>
      </c>
      <c r="AO109" s="343">
        <f t="shared" si="274"/>
        <v>1633619</v>
      </c>
      <c r="AP109" s="343">
        <f t="shared" si="274"/>
        <v>48182</v>
      </c>
      <c r="AQ109" s="343">
        <f t="shared" si="274"/>
        <v>0</v>
      </c>
      <c r="AR109" s="344">
        <f t="shared" si="274"/>
        <v>8.7100000000000009</v>
      </c>
    </row>
    <row r="110" spans="1:44" s="152" customFormat="1" x14ac:dyDescent="0.2">
      <c r="A110" s="140">
        <v>24</v>
      </c>
      <c r="B110" s="141">
        <v>4452</v>
      </c>
      <c r="C110" s="141">
        <v>600074919</v>
      </c>
      <c r="D110" s="141">
        <v>70698511</v>
      </c>
      <c r="E110" s="139" t="s">
        <v>186</v>
      </c>
      <c r="F110" s="141">
        <v>3113</v>
      </c>
      <c r="G110" s="117" t="s">
        <v>280</v>
      </c>
      <c r="H110" s="565" t="s">
        <v>262</v>
      </c>
      <c r="I110" s="586">
        <f>SUM(J110:L110)</f>
        <v>29949217</v>
      </c>
      <c r="J110" s="490">
        <v>22217520</v>
      </c>
      <c r="K110" s="55">
        <f t="shared" ref="K110:K113" si="275">ROUND(J110*33.8%,0)</f>
        <v>7509522</v>
      </c>
      <c r="L110" s="55">
        <f t="shared" ref="L110:L113" si="276">ROUND(J110*1%,0)</f>
        <v>222175</v>
      </c>
      <c r="M110" s="55">
        <v>0</v>
      </c>
      <c r="N110" s="631">
        <v>28.64</v>
      </c>
      <c r="O110" s="445">
        <f t="shared" ref="O110:O113" si="277">V110*-1</f>
        <v>0</v>
      </c>
      <c r="P110" s="325">
        <v>0</v>
      </c>
      <c r="Q110" s="325">
        <v>0</v>
      </c>
      <c r="R110" s="325">
        <v>0</v>
      </c>
      <c r="S110" s="325">
        <v>0</v>
      </c>
      <c r="T110" s="325">
        <v>0</v>
      </c>
      <c r="U110" s="492">
        <f t="shared" ref="U110:U113" si="278">O110+P110+Q110+R110+S110+T110</f>
        <v>0</v>
      </c>
      <c r="V110" s="325">
        <v>0</v>
      </c>
      <c r="W110" s="325">
        <v>0</v>
      </c>
      <c r="X110" s="325">
        <v>0</v>
      </c>
      <c r="Y110" s="492">
        <f t="shared" ref="Y110:Y113" si="279">V110+W110+X110</f>
        <v>0</v>
      </c>
      <c r="Z110" s="492">
        <f t="shared" ref="Z110:Z113" si="280">U110+Y110</f>
        <v>0</v>
      </c>
      <c r="AA110" s="494">
        <f t="shared" ref="AA110:AA113" si="281">ROUND((U110+Y110)*33.8%,0)</f>
        <v>0</v>
      </c>
      <c r="AB110" s="494">
        <f t="shared" ref="AB110:AB113" si="282">ROUND(U110*1%,0)</f>
        <v>0</v>
      </c>
      <c r="AC110" s="492">
        <v>0</v>
      </c>
      <c r="AD110" s="789">
        <f t="shared" ref="AD110:AD113" si="283">Z110+AA110+AB110+AC110</f>
        <v>0</v>
      </c>
      <c r="AE110" s="715">
        <v>0</v>
      </c>
      <c r="AF110" s="326">
        <v>0</v>
      </c>
      <c r="AG110" s="326">
        <v>0</v>
      </c>
      <c r="AH110" s="326">
        <v>0</v>
      </c>
      <c r="AI110" s="326">
        <v>0</v>
      </c>
      <c r="AJ110" s="326">
        <v>0</v>
      </c>
      <c r="AK110" s="626">
        <f t="shared" ref="AK110:AK113" si="284">SUM(AE110:AJ110)</f>
        <v>0</v>
      </c>
      <c r="AL110" s="493">
        <f>I110+AD110</f>
        <v>29949217</v>
      </c>
      <c r="AM110" s="492">
        <f>J110+U110</f>
        <v>22217520</v>
      </c>
      <c r="AN110" s="492">
        <f t="shared" ref="AN110:AN113" si="285">Y110</f>
        <v>0</v>
      </c>
      <c r="AO110" s="492">
        <f t="shared" ref="AO110:AP113" si="286">K110+AA110</f>
        <v>7509522</v>
      </c>
      <c r="AP110" s="492">
        <f t="shared" si="286"/>
        <v>222175</v>
      </c>
      <c r="AQ110" s="492">
        <v>0</v>
      </c>
      <c r="AR110" s="491">
        <f t="shared" ref="AR110:AR113" si="287">N110+AK110</f>
        <v>28.64</v>
      </c>
    </row>
    <row r="111" spans="1:44" s="152" customFormat="1" x14ac:dyDescent="0.2">
      <c r="A111" s="140">
        <v>24</v>
      </c>
      <c r="B111" s="141">
        <v>4452</v>
      </c>
      <c r="C111" s="141">
        <v>600074919</v>
      </c>
      <c r="D111" s="141">
        <v>70698511</v>
      </c>
      <c r="E111" s="139" t="s">
        <v>186</v>
      </c>
      <c r="F111" s="141">
        <v>3113</v>
      </c>
      <c r="G111" s="117" t="s">
        <v>279</v>
      </c>
      <c r="H111" s="565" t="s">
        <v>262</v>
      </c>
      <c r="I111" s="586">
        <f>SUM(J111:L111)</f>
        <v>774252</v>
      </c>
      <c r="J111" s="490">
        <v>574371</v>
      </c>
      <c r="K111" s="55">
        <f t="shared" si="275"/>
        <v>194137</v>
      </c>
      <c r="L111" s="55">
        <f t="shared" si="276"/>
        <v>5744</v>
      </c>
      <c r="M111" s="55">
        <v>0</v>
      </c>
      <c r="N111" s="631">
        <v>1.28</v>
      </c>
      <c r="O111" s="440">
        <f t="shared" si="277"/>
        <v>0</v>
      </c>
      <c r="P111" s="325">
        <v>0</v>
      </c>
      <c r="Q111" s="325">
        <v>0</v>
      </c>
      <c r="R111" s="325">
        <v>0</v>
      </c>
      <c r="S111" s="325">
        <v>0</v>
      </c>
      <c r="T111" s="325">
        <v>0</v>
      </c>
      <c r="U111" s="492">
        <f t="shared" si="278"/>
        <v>0</v>
      </c>
      <c r="V111" s="325">
        <v>0</v>
      </c>
      <c r="W111" s="325">
        <v>0</v>
      </c>
      <c r="X111" s="325">
        <v>0</v>
      </c>
      <c r="Y111" s="492">
        <f t="shared" si="279"/>
        <v>0</v>
      </c>
      <c r="Z111" s="492">
        <f t="shared" si="280"/>
        <v>0</v>
      </c>
      <c r="AA111" s="494">
        <f t="shared" si="281"/>
        <v>0</v>
      </c>
      <c r="AB111" s="494">
        <f t="shared" si="282"/>
        <v>0</v>
      </c>
      <c r="AC111" s="492">
        <v>0</v>
      </c>
      <c r="AD111" s="789">
        <f t="shared" si="283"/>
        <v>0</v>
      </c>
      <c r="AE111" s="715">
        <v>0</v>
      </c>
      <c r="AF111" s="326">
        <v>0</v>
      </c>
      <c r="AG111" s="326">
        <v>0</v>
      </c>
      <c r="AH111" s="326">
        <v>0</v>
      </c>
      <c r="AI111" s="326">
        <v>0</v>
      </c>
      <c r="AJ111" s="326">
        <v>0</v>
      </c>
      <c r="AK111" s="626">
        <f t="shared" si="284"/>
        <v>0</v>
      </c>
      <c r="AL111" s="493">
        <f>I111+AD111</f>
        <v>774252</v>
      </c>
      <c r="AM111" s="492">
        <f>J111+U111</f>
        <v>574371</v>
      </c>
      <c r="AN111" s="492">
        <f t="shared" si="285"/>
        <v>0</v>
      </c>
      <c r="AO111" s="492">
        <f t="shared" si="286"/>
        <v>194137</v>
      </c>
      <c r="AP111" s="492">
        <f t="shared" si="286"/>
        <v>5744</v>
      </c>
      <c r="AQ111" s="492">
        <v>0</v>
      </c>
      <c r="AR111" s="491">
        <f t="shared" si="287"/>
        <v>1.28</v>
      </c>
    </row>
    <row r="112" spans="1:44" s="152" customFormat="1" x14ac:dyDescent="0.2">
      <c r="A112" s="140">
        <v>24</v>
      </c>
      <c r="B112" s="141">
        <v>4452</v>
      </c>
      <c r="C112" s="141">
        <v>600074919</v>
      </c>
      <c r="D112" s="141">
        <v>70698511</v>
      </c>
      <c r="E112" s="139" t="s">
        <v>186</v>
      </c>
      <c r="F112" s="141">
        <v>3113</v>
      </c>
      <c r="G112" s="117" t="s">
        <v>278</v>
      </c>
      <c r="H112" s="565" t="s">
        <v>263</v>
      </c>
      <c r="I112" s="586">
        <f>SUM(J112:L112)</f>
        <v>0</v>
      </c>
      <c r="J112" s="490">
        <v>0</v>
      </c>
      <c r="K112" s="55">
        <f t="shared" si="275"/>
        <v>0</v>
      </c>
      <c r="L112" s="55">
        <f t="shared" si="276"/>
        <v>0</v>
      </c>
      <c r="M112" s="55">
        <v>0</v>
      </c>
      <c r="N112" s="631">
        <v>0</v>
      </c>
      <c r="O112" s="440">
        <f t="shared" si="277"/>
        <v>0</v>
      </c>
      <c r="P112" s="325">
        <v>1488359</v>
      </c>
      <c r="Q112" s="325">
        <v>0</v>
      </c>
      <c r="R112" s="325">
        <v>0</v>
      </c>
      <c r="S112" s="325">
        <v>0</v>
      </c>
      <c r="T112" s="325">
        <v>0</v>
      </c>
      <c r="U112" s="492">
        <f t="shared" si="278"/>
        <v>1488359</v>
      </c>
      <c r="V112" s="325">
        <v>0</v>
      </c>
      <c r="W112" s="325">
        <v>0</v>
      </c>
      <c r="X112" s="325">
        <v>0</v>
      </c>
      <c r="Y112" s="492">
        <f t="shared" si="279"/>
        <v>0</v>
      </c>
      <c r="Z112" s="492">
        <f t="shared" si="280"/>
        <v>1488359</v>
      </c>
      <c r="AA112" s="494">
        <f t="shared" si="281"/>
        <v>503065</v>
      </c>
      <c r="AB112" s="494">
        <f t="shared" si="282"/>
        <v>14884</v>
      </c>
      <c r="AC112" s="492">
        <v>0</v>
      </c>
      <c r="AD112" s="789">
        <f t="shared" si="283"/>
        <v>2006308</v>
      </c>
      <c r="AE112" s="715">
        <v>0</v>
      </c>
      <c r="AF112" s="326">
        <v>3.67</v>
      </c>
      <c r="AG112" s="326">
        <v>0</v>
      </c>
      <c r="AH112" s="326">
        <v>0</v>
      </c>
      <c r="AI112" s="326">
        <v>0</v>
      </c>
      <c r="AJ112" s="326">
        <v>0</v>
      </c>
      <c r="AK112" s="626">
        <f t="shared" si="284"/>
        <v>3.67</v>
      </c>
      <c r="AL112" s="493">
        <f>I112+AD112</f>
        <v>2006308</v>
      </c>
      <c r="AM112" s="492">
        <f>J112+U112</f>
        <v>1488359</v>
      </c>
      <c r="AN112" s="492">
        <f t="shared" si="285"/>
        <v>0</v>
      </c>
      <c r="AO112" s="492">
        <f t="shared" si="286"/>
        <v>503065</v>
      </c>
      <c r="AP112" s="492">
        <f t="shared" si="286"/>
        <v>14884</v>
      </c>
      <c r="AQ112" s="492">
        <v>0</v>
      </c>
      <c r="AR112" s="491">
        <f t="shared" si="287"/>
        <v>3.67</v>
      </c>
    </row>
    <row r="113" spans="1:44" s="152" customFormat="1" x14ac:dyDescent="0.2">
      <c r="A113" s="140">
        <v>24</v>
      </c>
      <c r="B113" s="141">
        <v>4452</v>
      </c>
      <c r="C113" s="141">
        <v>600074919</v>
      </c>
      <c r="D113" s="141">
        <v>70698511</v>
      </c>
      <c r="E113" s="135" t="s">
        <v>186</v>
      </c>
      <c r="F113" s="141">
        <v>3143</v>
      </c>
      <c r="G113" s="117" t="s">
        <v>794</v>
      </c>
      <c r="H113" s="157" t="s">
        <v>262</v>
      </c>
      <c r="I113" s="586">
        <f>SUM(J113:L113)</f>
        <v>1667049</v>
      </c>
      <c r="J113" s="490">
        <v>1236683</v>
      </c>
      <c r="K113" s="55">
        <f t="shared" si="275"/>
        <v>417999</v>
      </c>
      <c r="L113" s="55">
        <f t="shared" si="276"/>
        <v>12367</v>
      </c>
      <c r="M113" s="55">
        <v>0</v>
      </c>
      <c r="N113" s="631">
        <v>2.27</v>
      </c>
      <c r="O113" s="440">
        <f t="shared" si="277"/>
        <v>0</v>
      </c>
      <c r="P113" s="325">
        <v>0</v>
      </c>
      <c r="Q113" s="325">
        <v>0</v>
      </c>
      <c r="R113" s="325">
        <v>0</v>
      </c>
      <c r="S113" s="325">
        <v>0</v>
      </c>
      <c r="T113" s="325">
        <v>0</v>
      </c>
      <c r="U113" s="492">
        <f t="shared" si="278"/>
        <v>0</v>
      </c>
      <c r="V113" s="325">
        <v>0</v>
      </c>
      <c r="W113" s="325">
        <v>0</v>
      </c>
      <c r="X113" s="325">
        <v>0</v>
      </c>
      <c r="Y113" s="492">
        <f t="shared" si="279"/>
        <v>0</v>
      </c>
      <c r="Z113" s="492">
        <f t="shared" si="280"/>
        <v>0</v>
      </c>
      <c r="AA113" s="494">
        <f t="shared" si="281"/>
        <v>0</v>
      </c>
      <c r="AB113" s="494">
        <f t="shared" si="282"/>
        <v>0</v>
      </c>
      <c r="AC113" s="492">
        <v>0</v>
      </c>
      <c r="AD113" s="789">
        <f t="shared" si="283"/>
        <v>0</v>
      </c>
      <c r="AE113" s="715">
        <v>0</v>
      </c>
      <c r="AF113" s="326">
        <v>0</v>
      </c>
      <c r="AG113" s="326">
        <v>0</v>
      </c>
      <c r="AH113" s="326">
        <v>0</v>
      </c>
      <c r="AI113" s="326">
        <v>0</v>
      </c>
      <c r="AJ113" s="326">
        <v>0</v>
      </c>
      <c r="AK113" s="626">
        <f t="shared" si="284"/>
        <v>0</v>
      </c>
      <c r="AL113" s="493">
        <f>I113+AD113</f>
        <v>1667049</v>
      </c>
      <c r="AM113" s="492">
        <f>J113+U113</f>
        <v>1236683</v>
      </c>
      <c r="AN113" s="492">
        <f t="shared" si="285"/>
        <v>0</v>
      </c>
      <c r="AO113" s="492">
        <f t="shared" si="286"/>
        <v>417999</v>
      </c>
      <c r="AP113" s="492">
        <f t="shared" si="286"/>
        <v>12367</v>
      </c>
      <c r="AQ113" s="492">
        <v>0</v>
      </c>
      <c r="AR113" s="491">
        <f t="shared" si="287"/>
        <v>2.27</v>
      </c>
    </row>
    <row r="114" spans="1:44" s="152" customFormat="1" x14ac:dyDescent="0.2">
      <c r="A114" s="107">
        <v>24</v>
      </c>
      <c r="B114" s="15">
        <v>4452</v>
      </c>
      <c r="C114" s="15">
        <v>600074919</v>
      </c>
      <c r="D114" s="15">
        <v>70698511</v>
      </c>
      <c r="E114" s="116" t="s">
        <v>187</v>
      </c>
      <c r="F114" s="15"/>
      <c r="G114" s="106"/>
      <c r="H114" s="560"/>
      <c r="I114" s="794">
        <f t="shared" ref="I114:AR114" si="288">SUM(I110:I113)</f>
        <v>32390518</v>
      </c>
      <c r="J114" s="343">
        <f t="shared" si="288"/>
        <v>24028574</v>
      </c>
      <c r="K114" s="343">
        <f t="shared" si="288"/>
        <v>8121658</v>
      </c>
      <c r="L114" s="343">
        <f t="shared" si="288"/>
        <v>240286</v>
      </c>
      <c r="M114" s="343">
        <f t="shared" si="288"/>
        <v>0</v>
      </c>
      <c r="N114" s="35">
        <f t="shared" si="288"/>
        <v>32.190000000000005</v>
      </c>
      <c r="O114" s="346">
        <f t="shared" si="288"/>
        <v>0</v>
      </c>
      <c r="P114" s="343">
        <f t="shared" si="288"/>
        <v>1488359</v>
      </c>
      <c r="Q114" s="343">
        <f t="shared" si="288"/>
        <v>0</v>
      </c>
      <c r="R114" s="343">
        <f t="shared" si="288"/>
        <v>0</v>
      </c>
      <c r="S114" s="343">
        <f t="shared" si="288"/>
        <v>0</v>
      </c>
      <c r="T114" s="343">
        <f t="shared" si="288"/>
        <v>0</v>
      </c>
      <c r="U114" s="343">
        <f t="shared" si="288"/>
        <v>1488359</v>
      </c>
      <c r="V114" s="343">
        <f t="shared" si="288"/>
        <v>0</v>
      </c>
      <c r="W114" s="343">
        <f t="shared" si="288"/>
        <v>0</v>
      </c>
      <c r="X114" s="343">
        <f t="shared" si="288"/>
        <v>0</v>
      </c>
      <c r="Y114" s="343">
        <f t="shared" si="288"/>
        <v>0</v>
      </c>
      <c r="Z114" s="343">
        <f t="shared" si="288"/>
        <v>1488359</v>
      </c>
      <c r="AA114" s="343">
        <f t="shared" si="288"/>
        <v>503065</v>
      </c>
      <c r="AB114" s="343">
        <f t="shared" si="288"/>
        <v>14884</v>
      </c>
      <c r="AC114" s="343">
        <f t="shared" si="288"/>
        <v>0</v>
      </c>
      <c r="AD114" s="799">
        <f t="shared" si="288"/>
        <v>2006308</v>
      </c>
      <c r="AE114" s="803">
        <f t="shared" si="288"/>
        <v>0</v>
      </c>
      <c r="AF114" s="344">
        <f t="shared" si="288"/>
        <v>3.67</v>
      </c>
      <c r="AG114" s="344">
        <f t="shared" si="288"/>
        <v>0</v>
      </c>
      <c r="AH114" s="344">
        <f t="shared" si="288"/>
        <v>0</v>
      </c>
      <c r="AI114" s="344">
        <f t="shared" si="288"/>
        <v>0</v>
      </c>
      <c r="AJ114" s="344">
        <f t="shared" si="288"/>
        <v>0</v>
      </c>
      <c r="AK114" s="35">
        <f t="shared" si="288"/>
        <v>3.67</v>
      </c>
      <c r="AL114" s="346">
        <f t="shared" si="288"/>
        <v>34396826</v>
      </c>
      <c r="AM114" s="343">
        <f t="shared" si="288"/>
        <v>25516933</v>
      </c>
      <c r="AN114" s="343">
        <f t="shared" si="288"/>
        <v>0</v>
      </c>
      <c r="AO114" s="343">
        <f t="shared" si="288"/>
        <v>8624723</v>
      </c>
      <c r="AP114" s="343">
        <f t="shared" si="288"/>
        <v>255170</v>
      </c>
      <c r="AQ114" s="343">
        <f t="shared" si="288"/>
        <v>0</v>
      </c>
      <c r="AR114" s="344">
        <f t="shared" si="288"/>
        <v>35.860000000000007</v>
      </c>
    </row>
    <row r="115" spans="1:44" s="152" customFormat="1" x14ac:dyDescent="0.2">
      <c r="A115" s="140">
        <v>25</v>
      </c>
      <c r="B115" s="141">
        <v>4468</v>
      </c>
      <c r="C115" s="141">
        <v>600075052</v>
      </c>
      <c r="D115" s="141">
        <v>70698546</v>
      </c>
      <c r="E115" s="139" t="s">
        <v>188</v>
      </c>
      <c r="F115" s="141">
        <v>3231</v>
      </c>
      <c r="G115" s="117" t="s">
        <v>281</v>
      </c>
      <c r="H115" s="565" t="s">
        <v>262</v>
      </c>
      <c r="I115" s="586">
        <f>SUM(J115:L115)</f>
        <v>8518287</v>
      </c>
      <c r="J115" s="490">
        <v>6319204</v>
      </c>
      <c r="K115" s="55">
        <f>ROUND(J115*33.8%,0)</f>
        <v>2135891</v>
      </c>
      <c r="L115" s="55">
        <f>ROUND(J115*1%,0)</f>
        <v>63192</v>
      </c>
      <c r="M115" s="55">
        <v>0</v>
      </c>
      <c r="N115" s="631">
        <v>9.4600000000000009</v>
      </c>
      <c r="O115" s="445">
        <f>V115*-1</f>
        <v>0</v>
      </c>
      <c r="P115" s="325">
        <v>0</v>
      </c>
      <c r="Q115" s="325">
        <v>0</v>
      </c>
      <c r="R115" s="325">
        <v>0</v>
      </c>
      <c r="S115" s="325">
        <v>0</v>
      </c>
      <c r="T115" s="325">
        <v>0</v>
      </c>
      <c r="U115" s="492">
        <f>O115+P115+Q115+R115+S115+T115</f>
        <v>0</v>
      </c>
      <c r="V115" s="325">
        <v>0</v>
      </c>
      <c r="W115" s="325">
        <v>0</v>
      </c>
      <c r="X115" s="325">
        <v>0</v>
      </c>
      <c r="Y115" s="492">
        <f>V115+W115+X115</f>
        <v>0</v>
      </c>
      <c r="Z115" s="492">
        <f>U115+Y115</f>
        <v>0</v>
      </c>
      <c r="AA115" s="494">
        <f>ROUND((U115+Y115)*33.8%,0)</f>
        <v>0</v>
      </c>
      <c r="AB115" s="494">
        <f>ROUND(U115*1%,0)</f>
        <v>0</v>
      </c>
      <c r="AC115" s="492">
        <v>0</v>
      </c>
      <c r="AD115" s="789">
        <f>Z115+AA115+AB115+AC115</f>
        <v>0</v>
      </c>
      <c r="AE115" s="715">
        <v>0</v>
      </c>
      <c r="AF115" s="326">
        <v>0</v>
      </c>
      <c r="AG115" s="326">
        <v>0</v>
      </c>
      <c r="AH115" s="326">
        <v>0</v>
      </c>
      <c r="AI115" s="326">
        <v>0</v>
      </c>
      <c r="AJ115" s="326">
        <v>0</v>
      </c>
      <c r="AK115" s="626">
        <f>SUM(AE115:AJ115)</f>
        <v>0</v>
      </c>
      <c r="AL115" s="493">
        <f>I115+AD115</f>
        <v>8518287</v>
      </c>
      <c r="AM115" s="492">
        <f>J115+U115</f>
        <v>6319204</v>
      </c>
      <c r="AN115" s="492">
        <f>Y115</f>
        <v>0</v>
      </c>
      <c r="AO115" s="492">
        <f>K115+AA115</f>
        <v>2135891</v>
      </c>
      <c r="AP115" s="492">
        <f>L115+AB115</f>
        <v>63192</v>
      </c>
      <c r="AQ115" s="492">
        <v>0</v>
      </c>
      <c r="AR115" s="491">
        <f>N115+AK115</f>
        <v>9.4600000000000009</v>
      </c>
    </row>
    <row r="116" spans="1:44" s="152" customFormat="1" x14ac:dyDescent="0.2">
      <c r="A116" s="107">
        <v>25</v>
      </c>
      <c r="B116" s="15">
        <v>4468</v>
      </c>
      <c r="C116" s="15">
        <v>600075052</v>
      </c>
      <c r="D116" s="15">
        <v>70698546</v>
      </c>
      <c r="E116" s="116" t="s">
        <v>189</v>
      </c>
      <c r="F116" s="15"/>
      <c r="G116" s="106"/>
      <c r="H116" s="560"/>
      <c r="I116" s="794">
        <f t="shared" ref="I116:AR116" si="289">SUM(I115)</f>
        <v>8518287</v>
      </c>
      <c r="J116" s="343">
        <f t="shared" si="289"/>
        <v>6319204</v>
      </c>
      <c r="K116" s="343">
        <f t="shared" si="289"/>
        <v>2135891</v>
      </c>
      <c r="L116" s="343">
        <f t="shared" si="289"/>
        <v>63192</v>
      </c>
      <c r="M116" s="343">
        <f t="shared" si="289"/>
        <v>0</v>
      </c>
      <c r="N116" s="35">
        <f t="shared" si="289"/>
        <v>9.4600000000000009</v>
      </c>
      <c r="O116" s="346">
        <f t="shared" si="289"/>
        <v>0</v>
      </c>
      <c r="P116" s="343">
        <f t="shared" si="289"/>
        <v>0</v>
      </c>
      <c r="Q116" s="343">
        <f t="shared" si="289"/>
        <v>0</v>
      </c>
      <c r="R116" s="343">
        <f t="shared" si="289"/>
        <v>0</v>
      </c>
      <c r="S116" s="343">
        <f t="shared" si="289"/>
        <v>0</v>
      </c>
      <c r="T116" s="343">
        <f t="shared" si="289"/>
        <v>0</v>
      </c>
      <c r="U116" s="343">
        <f t="shared" si="289"/>
        <v>0</v>
      </c>
      <c r="V116" s="343">
        <f t="shared" si="289"/>
        <v>0</v>
      </c>
      <c r="W116" s="343">
        <f t="shared" si="289"/>
        <v>0</v>
      </c>
      <c r="X116" s="343">
        <f t="shared" si="289"/>
        <v>0</v>
      </c>
      <c r="Y116" s="343">
        <f t="shared" si="289"/>
        <v>0</v>
      </c>
      <c r="Z116" s="343">
        <f t="shared" si="289"/>
        <v>0</v>
      </c>
      <c r="AA116" s="343">
        <f t="shared" si="289"/>
        <v>0</v>
      </c>
      <c r="AB116" s="343">
        <f t="shared" si="289"/>
        <v>0</v>
      </c>
      <c r="AC116" s="343">
        <f t="shared" si="289"/>
        <v>0</v>
      </c>
      <c r="AD116" s="799">
        <f t="shared" si="289"/>
        <v>0</v>
      </c>
      <c r="AE116" s="803">
        <f t="shared" si="289"/>
        <v>0</v>
      </c>
      <c r="AF116" s="344">
        <f t="shared" si="289"/>
        <v>0</v>
      </c>
      <c r="AG116" s="344">
        <f t="shared" si="289"/>
        <v>0</v>
      </c>
      <c r="AH116" s="344">
        <f t="shared" si="289"/>
        <v>0</v>
      </c>
      <c r="AI116" s="344">
        <f t="shared" si="289"/>
        <v>0</v>
      </c>
      <c r="AJ116" s="344">
        <f t="shared" si="289"/>
        <v>0</v>
      </c>
      <c r="AK116" s="35">
        <f t="shared" si="289"/>
        <v>0</v>
      </c>
      <c r="AL116" s="346">
        <f t="shared" si="289"/>
        <v>8518287</v>
      </c>
      <c r="AM116" s="343">
        <f t="shared" si="289"/>
        <v>6319204</v>
      </c>
      <c r="AN116" s="343">
        <f t="shared" si="289"/>
        <v>0</v>
      </c>
      <c r="AO116" s="343">
        <f t="shared" si="289"/>
        <v>2135891</v>
      </c>
      <c r="AP116" s="343">
        <f t="shared" si="289"/>
        <v>63192</v>
      </c>
      <c r="AQ116" s="343">
        <f t="shared" si="289"/>
        <v>0</v>
      </c>
      <c r="AR116" s="344">
        <f t="shared" si="289"/>
        <v>9.4600000000000009</v>
      </c>
    </row>
    <row r="117" spans="1:44" s="152" customFormat="1" x14ac:dyDescent="0.2">
      <c r="A117" s="140">
        <v>26</v>
      </c>
      <c r="B117" s="141">
        <v>4414</v>
      </c>
      <c r="C117" s="141">
        <v>600074307</v>
      </c>
      <c r="D117" s="141">
        <v>70695831</v>
      </c>
      <c r="E117" s="139" t="s">
        <v>190</v>
      </c>
      <c r="F117" s="141">
        <v>3111</v>
      </c>
      <c r="G117" s="117" t="s">
        <v>277</v>
      </c>
      <c r="H117" s="565" t="s">
        <v>262</v>
      </c>
      <c r="I117" s="586">
        <f>SUM(J117:L117)</f>
        <v>5173593</v>
      </c>
      <c r="J117" s="490">
        <v>3837977</v>
      </c>
      <c r="K117" s="55">
        <f t="shared" ref="K117:K118" si="290">ROUND(J117*33.8%,0)</f>
        <v>1297236</v>
      </c>
      <c r="L117" s="55">
        <f t="shared" ref="L117:L118" si="291">ROUND(J117*1%,0)</f>
        <v>38380</v>
      </c>
      <c r="M117" s="55">
        <v>0</v>
      </c>
      <c r="N117" s="631">
        <v>6.21</v>
      </c>
      <c r="O117" s="445">
        <f>V117*-1</f>
        <v>0</v>
      </c>
      <c r="P117" s="325">
        <v>0</v>
      </c>
      <c r="Q117" s="325">
        <v>0</v>
      </c>
      <c r="R117" s="325">
        <v>0</v>
      </c>
      <c r="S117" s="325">
        <v>0</v>
      </c>
      <c r="T117" s="325">
        <v>0</v>
      </c>
      <c r="U117" s="492">
        <f t="shared" ref="U117:U118" si="292">O117+P117+Q117+R117+S117+T117</f>
        <v>0</v>
      </c>
      <c r="V117" s="325">
        <v>0</v>
      </c>
      <c r="W117" s="325">
        <v>0</v>
      </c>
      <c r="X117" s="325">
        <v>0</v>
      </c>
      <c r="Y117" s="492">
        <f t="shared" ref="Y117:Y118" si="293">V117+W117+X117</f>
        <v>0</v>
      </c>
      <c r="Z117" s="492">
        <f t="shared" ref="Z117:Z118" si="294">U117+Y117</f>
        <v>0</v>
      </c>
      <c r="AA117" s="494">
        <f t="shared" ref="AA117:AA118" si="295">ROUND((U117+Y117)*33.8%,0)</f>
        <v>0</v>
      </c>
      <c r="AB117" s="494">
        <f t="shared" ref="AB117:AB118" si="296">ROUND(U117*1%,0)</f>
        <v>0</v>
      </c>
      <c r="AC117" s="492">
        <v>0</v>
      </c>
      <c r="AD117" s="789">
        <f t="shared" ref="AD117:AD118" si="297">Z117+AA117+AB117+AC117</f>
        <v>0</v>
      </c>
      <c r="AE117" s="715">
        <v>0</v>
      </c>
      <c r="AF117" s="326">
        <v>0</v>
      </c>
      <c r="AG117" s="326">
        <v>0</v>
      </c>
      <c r="AH117" s="326">
        <v>0</v>
      </c>
      <c r="AI117" s="326">
        <v>0</v>
      </c>
      <c r="AJ117" s="326">
        <v>0</v>
      </c>
      <c r="AK117" s="626">
        <f t="shared" ref="AK117:AK118" si="298">SUM(AE117:AJ117)</f>
        <v>0</v>
      </c>
      <c r="AL117" s="493">
        <f>I117+AD117</f>
        <v>5173593</v>
      </c>
      <c r="AM117" s="492">
        <f>J117+U117</f>
        <v>3837977</v>
      </c>
      <c r="AN117" s="492">
        <f t="shared" ref="AN117:AN118" si="299">Y117</f>
        <v>0</v>
      </c>
      <c r="AO117" s="492">
        <f>K117+AA117</f>
        <v>1297236</v>
      </c>
      <c r="AP117" s="492">
        <f>L117+AB117</f>
        <v>38380</v>
      </c>
      <c r="AQ117" s="492">
        <v>0</v>
      </c>
      <c r="AR117" s="491">
        <f t="shared" ref="AR117:AR118" si="300">N117+AK117</f>
        <v>6.21</v>
      </c>
    </row>
    <row r="118" spans="1:44" s="152" customFormat="1" x14ac:dyDescent="0.2">
      <c r="A118" s="140">
        <v>26</v>
      </c>
      <c r="B118" s="141">
        <v>4414</v>
      </c>
      <c r="C118" s="141">
        <v>600074307</v>
      </c>
      <c r="D118" s="141">
        <v>70695831</v>
      </c>
      <c r="E118" s="139" t="s">
        <v>190</v>
      </c>
      <c r="F118" s="141">
        <v>3111</v>
      </c>
      <c r="G118" s="117" t="s">
        <v>278</v>
      </c>
      <c r="H118" s="565" t="s">
        <v>263</v>
      </c>
      <c r="I118" s="586">
        <f>SUM(J118:L118)</f>
        <v>0</v>
      </c>
      <c r="J118" s="490">
        <v>0</v>
      </c>
      <c r="K118" s="55">
        <f t="shared" si="290"/>
        <v>0</v>
      </c>
      <c r="L118" s="55">
        <f t="shared" si="291"/>
        <v>0</v>
      </c>
      <c r="M118" s="55">
        <v>0</v>
      </c>
      <c r="N118" s="631">
        <v>0</v>
      </c>
      <c r="O118" s="440">
        <f>V118*-1</f>
        <v>0</v>
      </c>
      <c r="P118" s="325">
        <f>992118+21562</f>
        <v>1013680</v>
      </c>
      <c r="Q118" s="325">
        <v>0</v>
      </c>
      <c r="R118" s="325">
        <v>0</v>
      </c>
      <c r="S118" s="325">
        <v>0</v>
      </c>
      <c r="T118" s="325">
        <v>0</v>
      </c>
      <c r="U118" s="492">
        <f t="shared" si="292"/>
        <v>1013680</v>
      </c>
      <c r="V118" s="325">
        <v>0</v>
      </c>
      <c r="W118" s="325">
        <v>0</v>
      </c>
      <c r="X118" s="325">
        <v>0</v>
      </c>
      <c r="Y118" s="492">
        <f t="shared" si="293"/>
        <v>0</v>
      </c>
      <c r="Z118" s="492">
        <f t="shared" si="294"/>
        <v>1013680</v>
      </c>
      <c r="AA118" s="494">
        <f t="shared" si="295"/>
        <v>342624</v>
      </c>
      <c r="AB118" s="494">
        <f t="shared" si="296"/>
        <v>10137</v>
      </c>
      <c r="AC118" s="492">
        <v>0</v>
      </c>
      <c r="AD118" s="789">
        <f t="shared" si="297"/>
        <v>1366441</v>
      </c>
      <c r="AE118" s="715">
        <v>0</v>
      </c>
      <c r="AF118" s="326">
        <f>2.5+0.23</f>
        <v>2.73</v>
      </c>
      <c r="AG118" s="326">
        <v>0</v>
      </c>
      <c r="AH118" s="326">
        <v>0</v>
      </c>
      <c r="AI118" s="326">
        <v>0</v>
      </c>
      <c r="AJ118" s="326">
        <v>0</v>
      </c>
      <c r="AK118" s="626">
        <f t="shared" si="298"/>
        <v>2.73</v>
      </c>
      <c r="AL118" s="493">
        <f>I118+AD118</f>
        <v>1366441</v>
      </c>
      <c r="AM118" s="492">
        <f>J118+U118</f>
        <v>1013680</v>
      </c>
      <c r="AN118" s="492">
        <f t="shared" si="299"/>
        <v>0</v>
      </c>
      <c r="AO118" s="492">
        <f>K118+AA118</f>
        <v>342624</v>
      </c>
      <c r="AP118" s="492">
        <f>L118+AB118</f>
        <v>10137</v>
      </c>
      <c r="AQ118" s="492">
        <v>0</v>
      </c>
      <c r="AR118" s="491">
        <f t="shared" si="300"/>
        <v>2.73</v>
      </c>
    </row>
    <row r="119" spans="1:44" s="152" customFormat="1" x14ac:dyDescent="0.2">
      <c r="A119" s="107">
        <v>26</v>
      </c>
      <c r="B119" s="15">
        <v>4414</v>
      </c>
      <c r="C119" s="15">
        <v>600074307</v>
      </c>
      <c r="D119" s="15">
        <v>70695831</v>
      </c>
      <c r="E119" s="116" t="s">
        <v>191</v>
      </c>
      <c r="F119" s="15"/>
      <c r="G119" s="106"/>
      <c r="H119" s="560"/>
      <c r="I119" s="794">
        <f t="shared" ref="I119:AR119" si="301">SUM(I117:I118)</f>
        <v>5173593</v>
      </c>
      <c r="J119" s="343">
        <f t="shared" si="301"/>
        <v>3837977</v>
      </c>
      <c r="K119" s="343">
        <f t="shared" si="301"/>
        <v>1297236</v>
      </c>
      <c r="L119" s="343">
        <f t="shared" si="301"/>
        <v>38380</v>
      </c>
      <c r="M119" s="343">
        <f t="shared" si="301"/>
        <v>0</v>
      </c>
      <c r="N119" s="35">
        <f t="shared" si="301"/>
        <v>6.21</v>
      </c>
      <c r="O119" s="346">
        <f t="shared" si="301"/>
        <v>0</v>
      </c>
      <c r="P119" s="343">
        <f t="shared" si="301"/>
        <v>1013680</v>
      </c>
      <c r="Q119" s="343">
        <f t="shared" si="301"/>
        <v>0</v>
      </c>
      <c r="R119" s="343">
        <f t="shared" si="301"/>
        <v>0</v>
      </c>
      <c r="S119" s="343">
        <f t="shared" si="301"/>
        <v>0</v>
      </c>
      <c r="T119" s="343">
        <f t="shared" si="301"/>
        <v>0</v>
      </c>
      <c r="U119" s="343">
        <f t="shared" si="301"/>
        <v>1013680</v>
      </c>
      <c r="V119" s="343">
        <f t="shared" si="301"/>
        <v>0</v>
      </c>
      <c r="W119" s="343">
        <f t="shared" si="301"/>
        <v>0</v>
      </c>
      <c r="X119" s="343">
        <f t="shared" si="301"/>
        <v>0</v>
      </c>
      <c r="Y119" s="343">
        <f t="shared" si="301"/>
        <v>0</v>
      </c>
      <c r="Z119" s="343">
        <f t="shared" si="301"/>
        <v>1013680</v>
      </c>
      <c r="AA119" s="343">
        <f t="shared" si="301"/>
        <v>342624</v>
      </c>
      <c r="AB119" s="343">
        <f t="shared" si="301"/>
        <v>10137</v>
      </c>
      <c r="AC119" s="343">
        <f t="shared" si="301"/>
        <v>0</v>
      </c>
      <c r="AD119" s="799">
        <f t="shared" si="301"/>
        <v>1366441</v>
      </c>
      <c r="AE119" s="803">
        <f t="shared" si="301"/>
        <v>0</v>
      </c>
      <c r="AF119" s="344">
        <f t="shared" si="301"/>
        <v>2.73</v>
      </c>
      <c r="AG119" s="344">
        <f t="shared" si="301"/>
        <v>0</v>
      </c>
      <c r="AH119" s="344">
        <f t="shared" si="301"/>
        <v>0</v>
      </c>
      <c r="AI119" s="344">
        <f t="shared" si="301"/>
        <v>0</v>
      </c>
      <c r="AJ119" s="344">
        <f t="shared" si="301"/>
        <v>0</v>
      </c>
      <c r="AK119" s="35">
        <f t="shared" si="301"/>
        <v>2.73</v>
      </c>
      <c r="AL119" s="346">
        <f t="shared" si="301"/>
        <v>6540034</v>
      </c>
      <c r="AM119" s="343">
        <f t="shared" si="301"/>
        <v>4851657</v>
      </c>
      <c r="AN119" s="343">
        <f t="shared" si="301"/>
        <v>0</v>
      </c>
      <c r="AO119" s="343">
        <f t="shared" si="301"/>
        <v>1639860</v>
      </c>
      <c r="AP119" s="343">
        <f t="shared" si="301"/>
        <v>48517</v>
      </c>
      <c r="AQ119" s="343">
        <f t="shared" si="301"/>
        <v>0</v>
      </c>
      <c r="AR119" s="344">
        <f t="shared" si="301"/>
        <v>8.94</v>
      </c>
    </row>
    <row r="120" spans="1:44" s="152" customFormat="1" x14ac:dyDescent="0.2">
      <c r="A120" s="140">
        <v>27</v>
      </c>
      <c r="B120" s="141">
        <v>4444</v>
      </c>
      <c r="C120" s="141">
        <v>600074731</v>
      </c>
      <c r="D120" s="141">
        <v>48282979</v>
      </c>
      <c r="E120" s="139" t="s">
        <v>192</v>
      </c>
      <c r="F120" s="141">
        <v>3113</v>
      </c>
      <c r="G120" s="117" t="s">
        <v>280</v>
      </c>
      <c r="H120" s="565" t="s">
        <v>262</v>
      </c>
      <c r="I120" s="586">
        <f>SUM(J120:L120)</f>
        <v>14169136</v>
      </c>
      <c r="J120" s="490">
        <v>10511229</v>
      </c>
      <c r="K120" s="55">
        <f t="shared" ref="K120:K123" si="302">ROUND(J120*33.8%,0)</f>
        <v>3552795</v>
      </c>
      <c r="L120" s="55">
        <f t="shared" ref="L120:L123" si="303">ROUND(J120*1%,0)</f>
        <v>105112</v>
      </c>
      <c r="M120" s="55">
        <v>0</v>
      </c>
      <c r="N120" s="631">
        <v>14.59</v>
      </c>
      <c r="O120" s="445">
        <f t="shared" ref="O120:O123" si="304">V120*-1</f>
        <v>0</v>
      </c>
      <c r="P120" s="325">
        <v>0</v>
      </c>
      <c r="Q120" s="325">
        <v>0</v>
      </c>
      <c r="R120" s="325">
        <v>0</v>
      </c>
      <c r="S120" s="325">
        <v>0</v>
      </c>
      <c r="T120" s="325">
        <v>0</v>
      </c>
      <c r="U120" s="492">
        <f t="shared" ref="U120:U123" si="305">O120+P120+Q120+R120+S120+T120</f>
        <v>0</v>
      </c>
      <c r="V120" s="325">
        <v>0</v>
      </c>
      <c r="W120" s="325">
        <v>0</v>
      </c>
      <c r="X120" s="325">
        <v>0</v>
      </c>
      <c r="Y120" s="492">
        <f t="shared" ref="Y120:Y123" si="306">V120+W120+X120</f>
        <v>0</v>
      </c>
      <c r="Z120" s="492">
        <f t="shared" ref="Z120:Z123" si="307">U120+Y120</f>
        <v>0</v>
      </c>
      <c r="AA120" s="494">
        <f t="shared" ref="AA120:AA123" si="308">ROUND((U120+Y120)*33.8%,0)</f>
        <v>0</v>
      </c>
      <c r="AB120" s="494">
        <f t="shared" ref="AB120:AB123" si="309">ROUND(U120*1%,0)</f>
        <v>0</v>
      </c>
      <c r="AC120" s="492">
        <v>0</v>
      </c>
      <c r="AD120" s="789">
        <f t="shared" ref="AD120:AD123" si="310">Z120+AA120+AB120+AC120</f>
        <v>0</v>
      </c>
      <c r="AE120" s="715">
        <v>0</v>
      </c>
      <c r="AF120" s="326">
        <v>0</v>
      </c>
      <c r="AG120" s="326">
        <v>0</v>
      </c>
      <c r="AH120" s="326">
        <v>0</v>
      </c>
      <c r="AI120" s="326">
        <v>0</v>
      </c>
      <c r="AJ120" s="326">
        <v>0</v>
      </c>
      <c r="AK120" s="626">
        <f t="shared" ref="AK120:AK123" si="311">SUM(AE120:AJ120)</f>
        <v>0</v>
      </c>
      <c r="AL120" s="493">
        <f>I120+AD120</f>
        <v>14169136</v>
      </c>
      <c r="AM120" s="492">
        <f>J120+U120</f>
        <v>10511229</v>
      </c>
      <c r="AN120" s="492">
        <f t="shared" ref="AN120:AN123" si="312">Y120</f>
        <v>0</v>
      </c>
      <c r="AO120" s="492">
        <f t="shared" ref="AO120:AP123" si="313">K120+AA120</f>
        <v>3552795</v>
      </c>
      <c r="AP120" s="492">
        <f t="shared" si="313"/>
        <v>105112</v>
      </c>
      <c r="AQ120" s="492">
        <v>0</v>
      </c>
      <c r="AR120" s="491">
        <f t="shared" ref="AR120:AR123" si="314">N120+AK120</f>
        <v>14.59</v>
      </c>
    </row>
    <row r="121" spans="1:44" s="152" customFormat="1" x14ac:dyDescent="0.2">
      <c r="A121" s="140">
        <v>27</v>
      </c>
      <c r="B121" s="141">
        <v>4444</v>
      </c>
      <c r="C121" s="141">
        <v>600074731</v>
      </c>
      <c r="D121" s="141">
        <v>48282979</v>
      </c>
      <c r="E121" s="139" t="s">
        <v>192</v>
      </c>
      <c r="F121" s="141">
        <v>3113</v>
      </c>
      <c r="G121" s="117" t="s">
        <v>284</v>
      </c>
      <c r="H121" s="565" t="s">
        <v>263</v>
      </c>
      <c r="I121" s="586">
        <f>SUM(J121:L121)</f>
        <v>0</v>
      </c>
      <c r="J121" s="490">
        <v>0</v>
      </c>
      <c r="K121" s="55">
        <f t="shared" si="302"/>
        <v>0</v>
      </c>
      <c r="L121" s="55">
        <f t="shared" si="303"/>
        <v>0</v>
      </c>
      <c r="M121" s="55">
        <v>0</v>
      </c>
      <c r="N121" s="631">
        <v>0</v>
      </c>
      <c r="O121" s="440">
        <f t="shared" si="304"/>
        <v>0</v>
      </c>
      <c r="P121" s="325">
        <v>2094482</v>
      </c>
      <c r="Q121" s="325">
        <v>0</v>
      </c>
      <c r="R121" s="325">
        <v>0</v>
      </c>
      <c r="S121" s="325">
        <v>0</v>
      </c>
      <c r="T121" s="325">
        <v>0</v>
      </c>
      <c r="U121" s="492">
        <f t="shared" si="305"/>
        <v>2094482</v>
      </c>
      <c r="V121" s="325">
        <v>0</v>
      </c>
      <c r="W121" s="325">
        <v>0</v>
      </c>
      <c r="X121" s="325">
        <v>0</v>
      </c>
      <c r="Y121" s="492">
        <f t="shared" si="306"/>
        <v>0</v>
      </c>
      <c r="Z121" s="492">
        <f t="shared" si="307"/>
        <v>2094482</v>
      </c>
      <c r="AA121" s="494">
        <f t="shared" si="308"/>
        <v>707935</v>
      </c>
      <c r="AB121" s="494">
        <f t="shared" si="309"/>
        <v>20945</v>
      </c>
      <c r="AC121" s="492">
        <v>0</v>
      </c>
      <c r="AD121" s="789">
        <f t="shared" si="310"/>
        <v>2823362</v>
      </c>
      <c r="AE121" s="715">
        <v>0</v>
      </c>
      <c r="AF121" s="326">
        <v>5.28</v>
      </c>
      <c r="AG121" s="326">
        <v>0</v>
      </c>
      <c r="AH121" s="326">
        <v>0</v>
      </c>
      <c r="AI121" s="326">
        <v>0</v>
      </c>
      <c r="AJ121" s="326">
        <v>0</v>
      </c>
      <c r="AK121" s="626">
        <f t="shared" si="311"/>
        <v>5.28</v>
      </c>
      <c r="AL121" s="493">
        <f>I121+AD121</f>
        <v>2823362</v>
      </c>
      <c r="AM121" s="492">
        <f>J121+U121</f>
        <v>2094482</v>
      </c>
      <c r="AN121" s="492">
        <f t="shared" si="312"/>
        <v>0</v>
      </c>
      <c r="AO121" s="492">
        <f t="shared" si="313"/>
        <v>707935</v>
      </c>
      <c r="AP121" s="492">
        <f t="shared" si="313"/>
        <v>20945</v>
      </c>
      <c r="AQ121" s="492">
        <v>0</v>
      </c>
      <c r="AR121" s="491">
        <f t="shared" si="314"/>
        <v>5.28</v>
      </c>
    </row>
    <row r="122" spans="1:44" s="152" customFormat="1" x14ac:dyDescent="0.2">
      <c r="A122" s="140">
        <v>27</v>
      </c>
      <c r="B122" s="141">
        <v>4444</v>
      </c>
      <c r="C122" s="141">
        <v>600074731</v>
      </c>
      <c r="D122" s="141">
        <v>48282979</v>
      </c>
      <c r="E122" s="139" t="s">
        <v>192</v>
      </c>
      <c r="F122" s="141">
        <v>3143</v>
      </c>
      <c r="G122" s="117" t="s">
        <v>794</v>
      </c>
      <c r="H122" s="157" t="s">
        <v>262</v>
      </c>
      <c r="I122" s="586">
        <f>SUM(J122:L122)</f>
        <v>1712993</v>
      </c>
      <c r="J122" s="490">
        <v>1270766</v>
      </c>
      <c r="K122" s="55">
        <f t="shared" si="302"/>
        <v>429519</v>
      </c>
      <c r="L122" s="55">
        <f t="shared" si="303"/>
        <v>12708</v>
      </c>
      <c r="M122" s="55">
        <v>0</v>
      </c>
      <c r="N122" s="631">
        <v>2.5</v>
      </c>
      <c r="O122" s="440">
        <f t="shared" si="304"/>
        <v>-42000</v>
      </c>
      <c r="P122" s="325">
        <v>0</v>
      </c>
      <c r="Q122" s="325">
        <v>0</v>
      </c>
      <c r="R122" s="325">
        <v>0</v>
      </c>
      <c r="S122" s="325">
        <v>0</v>
      </c>
      <c r="T122" s="325">
        <v>0</v>
      </c>
      <c r="U122" s="492">
        <f t="shared" si="305"/>
        <v>-42000</v>
      </c>
      <c r="V122" s="325">
        <v>42000</v>
      </c>
      <c r="W122" s="325">
        <v>0</v>
      </c>
      <c r="X122" s="325">
        <v>0</v>
      </c>
      <c r="Y122" s="492">
        <f t="shared" si="306"/>
        <v>42000</v>
      </c>
      <c r="Z122" s="492">
        <f t="shared" si="307"/>
        <v>0</v>
      </c>
      <c r="AA122" s="494">
        <f t="shared" si="308"/>
        <v>0</v>
      </c>
      <c r="AB122" s="494">
        <f t="shared" si="309"/>
        <v>-420</v>
      </c>
      <c r="AC122" s="492">
        <v>0</v>
      </c>
      <c r="AD122" s="789">
        <f t="shared" si="310"/>
        <v>-420</v>
      </c>
      <c r="AE122" s="715">
        <v>-0.1</v>
      </c>
      <c r="AF122" s="326">
        <v>0</v>
      </c>
      <c r="AG122" s="326">
        <v>0</v>
      </c>
      <c r="AH122" s="326">
        <v>0</v>
      </c>
      <c r="AI122" s="326">
        <v>0</v>
      </c>
      <c r="AJ122" s="326">
        <v>0</v>
      </c>
      <c r="AK122" s="626">
        <f t="shared" si="311"/>
        <v>-0.1</v>
      </c>
      <c r="AL122" s="493">
        <f>I122+AD122</f>
        <v>1712573</v>
      </c>
      <c r="AM122" s="492">
        <f>J122+U122</f>
        <v>1228766</v>
      </c>
      <c r="AN122" s="492">
        <f t="shared" si="312"/>
        <v>42000</v>
      </c>
      <c r="AO122" s="492">
        <f t="shared" si="313"/>
        <v>429519</v>
      </c>
      <c r="AP122" s="492">
        <f t="shared" si="313"/>
        <v>12288</v>
      </c>
      <c r="AQ122" s="492">
        <v>0</v>
      </c>
      <c r="AR122" s="491">
        <f t="shared" si="314"/>
        <v>2.4</v>
      </c>
    </row>
    <row r="123" spans="1:44" s="152" customFormat="1" x14ac:dyDescent="0.2">
      <c r="A123" s="140">
        <v>27</v>
      </c>
      <c r="B123" s="141">
        <v>4444</v>
      </c>
      <c r="C123" s="141">
        <v>600074731</v>
      </c>
      <c r="D123" s="141">
        <v>48282979</v>
      </c>
      <c r="E123" s="139" t="s">
        <v>192</v>
      </c>
      <c r="F123" s="141">
        <v>3143</v>
      </c>
      <c r="G123" s="117" t="s">
        <v>282</v>
      </c>
      <c r="H123" s="157" t="s">
        <v>263</v>
      </c>
      <c r="I123" s="586">
        <f>SUM(J123:L123)</f>
        <v>116430</v>
      </c>
      <c r="J123" s="490">
        <v>86372</v>
      </c>
      <c r="K123" s="55">
        <f t="shared" si="302"/>
        <v>29194</v>
      </c>
      <c r="L123" s="55">
        <f t="shared" si="303"/>
        <v>864</v>
      </c>
      <c r="M123" s="55">
        <v>0</v>
      </c>
      <c r="N123" s="631">
        <v>0.16</v>
      </c>
      <c r="O123" s="440">
        <f t="shared" si="304"/>
        <v>0</v>
      </c>
      <c r="P123" s="325">
        <v>0</v>
      </c>
      <c r="Q123" s="325">
        <v>0</v>
      </c>
      <c r="R123" s="325">
        <v>0</v>
      </c>
      <c r="S123" s="325">
        <v>0</v>
      </c>
      <c r="T123" s="325">
        <v>0</v>
      </c>
      <c r="U123" s="492">
        <f t="shared" si="305"/>
        <v>0</v>
      </c>
      <c r="V123" s="325">
        <v>0</v>
      </c>
      <c r="W123" s="325">
        <v>0</v>
      </c>
      <c r="X123" s="325">
        <v>0</v>
      </c>
      <c r="Y123" s="492">
        <f t="shared" si="306"/>
        <v>0</v>
      </c>
      <c r="Z123" s="492">
        <f t="shared" si="307"/>
        <v>0</v>
      </c>
      <c r="AA123" s="494">
        <f t="shared" si="308"/>
        <v>0</v>
      </c>
      <c r="AB123" s="494">
        <f t="shared" si="309"/>
        <v>0</v>
      </c>
      <c r="AC123" s="492">
        <v>0</v>
      </c>
      <c r="AD123" s="789">
        <f t="shared" si="310"/>
        <v>0</v>
      </c>
      <c r="AE123" s="715">
        <v>0</v>
      </c>
      <c r="AF123" s="326">
        <v>0</v>
      </c>
      <c r="AG123" s="326">
        <v>0</v>
      </c>
      <c r="AH123" s="326">
        <v>0</v>
      </c>
      <c r="AI123" s="326">
        <v>0</v>
      </c>
      <c r="AJ123" s="326">
        <v>0</v>
      </c>
      <c r="AK123" s="626">
        <f t="shared" si="311"/>
        <v>0</v>
      </c>
      <c r="AL123" s="493">
        <f>I123+AD123</f>
        <v>116430</v>
      </c>
      <c r="AM123" s="492">
        <f>J123+U123</f>
        <v>86372</v>
      </c>
      <c r="AN123" s="492">
        <f t="shared" si="312"/>
        <v>0</v>
      </c>
      <c r="AO123" s="492">
        <f t="shared" si="313"/>
        <v>29194</v>
      </c>
      <c r="AP123" s="492">
        <f t="shared" si="313"/>
        <v>864</v>
      </c>
      <c r="AQ123" s="492">
        <v>0</v>
      </c>
      <c r="AR123" s="491">
        <f t="shared" si="314"/>
        <v>0.16</v>
      </c>
    </row>
    <row r="124" spans="1:44" s="152" customFormat="1" x14ac:dyDescent="0.2">
      <c r="A124" s="107">
        <v>27</v>
      </c>
      <c r="B124" s="15">
        <v>4444</v>
      </c>
      <c r="C124" s="15">
        <v>600074731</v>
      </c>
      <c r="D124" s="15">
        <v>48282979</v>
      </c>
      <c r="E124" s="116" t="s">
        <v>193</v>
      </c>
      <c r="F124" s="15"/>
      <c r="G124" s="106"/>
      <c r="H124" s="560"/>
      <c r="I124" s="794">
        <f t="shared" ref="I124:AR124" si="315">SUM(I120:I123)</f>
        <v>15998559</v>
      </c>
      <c r="J124" s="343">
        <f t="shared" si="315"/>
        <v>11868367</v>
      </c>
      <c r="K124" s="343">
        <f t="shared" si="315"/>
        <v>4011508</v>
      </c>
      <c r="L124" s="343">
        <f t="shared" si="315"/>
        <v>118684</v>
      </c>
      <c r="M124" s="343">
        <f t="shared" si="315"/>
        <v>0</v>
      </c>
      <c r="N124" s="35">
        <f t="shared" si="315"/>
        <v>17.25</v>
      </c>
      <c r="O124" s="346">
        <f t="shared" si="315"/>
        <v>-42000</v>
      </c>
      <c r="P124" s="343">
        <f t="shared" si="315"/>
        <v>2094482</v>
      </c>
      <c r="Q124" s="343">
        <f t="shared" si="315"/>
        <v>0</v>
      </c>
      <c r="R124" s="343">
        <f t="shared" si="315"/>
        <v>0</v>
      </c>
      <c r="S124" s="343">
        <f t="shared" si="315"/>
        <v>0</v>
      </c>
      <c r="T124" s="343">
        <f t="shared" si="315"/>
        <v>0</v>
      </c>
      <c r="U124" s="343">
        <f t="shared" si="315"/>
        <v>2052482</v>
      </c>
      <c r="V124" s="343">
        <f t="shared" si="315"/>
        <v>42000</v>
      </c>
      <c r="W124" s="343">
        <f t="shared" si="315"/>
        <v>0</v>
      </c>
      <c r="X124" s="343">
        <f t="shared" si="315"/>
        <v>0</v>
      </c>
      <c r="Y124" s="343">
        <f t="shared" si="315"/>
        <v>42000</v>
      </c>
      <c r="Z124" s="343">
        <f t="shared" si="315"/>
        <v>2094482</v>
      </c>
      <c r="AA124" s="343">
        <f t="shared" si="315"/>
        <v>707935</v>
      </c>
      <c r="AB124" s="343">
        <f t="shared" si="315"/>
        <v>20525</v>
      </c>
      <c r="AC124" s="343">
        <f t="shared" si="315"/>
        <v>0</v>
      </c>
      <c r="AD124" s="799">
        <f t="shared" si="315"/>
        <v>2822942</v>
      </c>
      <c r="AE124" s="803">
        <f t="shared" si="315"/>
        <v>-0.1</v>
      </c>
      <c r="AF124" s="344">
        <f t="shared" si="315"/>
        <v>5.28</v>
      </c>
      <c r="AG124" s="344">
        <f t="shared" si="315"/>
        <v>0</v>
      </c>
      <c r="AH124" s="344">
        <f t="shared" si="315"/>
        <v>0</v>
      </c>
      <c r="AI124" s="344">
        <f t="shared" si="315"/>
        <v>0</v>
      </c>
      <c r="AJ124" s="344">
        <f t="shared" si="315"/>
        <v>0</v>
      </c>
      <c r="AK124" s="35">
        <f t="shared" si="315"/>
        <v>5.1800000000000006</v>
      </c>
      <c r="AL124" s="346">
        <f t="shared" si="315"/>
        <v>18821501</v>
      </c>
      <c r="AM124" s="343">
        <f t="shared" si="315"/>
        <v>13920849</v>
      </c>
      <c r="AN124" s="343">
        <f t="shared" si="315"/>
        <v>42000</v>
      </c>
      <c r="AO124" s="343">
        <f t="shared" si="315"/>
        <v>4719443</v>
      </c>
      <c r="AP124" s="343">
        <f t="shared" si="315"/>
        <v>139209</v>
      </c>
      <c r="AQ124" s="343">
        <f t="shared" si="315"/>
        <v>0</v>
      </c>
      <c r="AR124" s="344">
        <f t="shared" si="315"/>
        <v>22.43</v>
      </c>
    </row>
    <row r="125" spans="1:44" s="152" customFormat="1" ht="12.75" customHeight="1" x14ac:dyDescent="0.2">
      <c r="A125" s="140">
        <v>28</v>
      </c>
      <c r="B125" s="141">
        <v>4445</v>
      </c>
      <c r="C125" s="141">
        <v>600075044</v>
      </c>
      <c r="D125" s="141">
        <v>72742631</v>
      </c>
      <c r="E125" s="139" t="s">
        <v>194</v>
      </c>
      <c r="F125" s="141">
        <v>3111</v>
      </c>
      <c r="G125" s="117" t="s">
        <v>277</v>
      </c>
      <c r="H125" s="565" t="s">
        <v>262</v>
      </c>
      <c r="I125" s="586">
        <f>SUM(J125:L125)</f>
        <v>2967751</v>
      </c>
      <c r="J125" s="490">
        <v>2201596</v>
      </c>
      <c r="K125" s="55">
        <f t="shared" ref="K125:K128" si="316">ROUND(J125*33.8%,0)</f>
        <v>744139</v>
      </c>
      <c r="L125" s="55">
        <f t="shared" ref="L125:L128" si="317">ROUND(J125*1%,0)</f>
        <v>22016</v>
      </c>
      <c r="M125" s="55">
        <v>0</v>
      </c>
      <c r="N125" s="631">
        <v>4</v>
      </c>
      <c r="O125" s="445">
        <f t="shared" ref="O125:O128" si="318">V125*-1</f>
        <v>0</v>
      </c>
      <c r="P125" s="325">
        <v>0</v>
      </c>
      <c r="Q125" s="325">
        <v>0</v>
      </c>
      <c r="R125" s="325">
        <v>0</v>
      </c>
      <c r="S125" s="325">
        <v>0</v>
      </c>
      <c r="T125" s="325">
        <v>0</v>
      </c>
      <c r="U125" s="492">
        <f t="shared" ref="U125:U128" si="319">O125+P125+Q125+R125+S125+T125</f>
        <v>0</v>
      </c>
      <c r="V125" s="325">
        <v>0</v>
      </c>
      <c r="W125" s="325">
        <v>0</v>
      </c>
      <c r="X125" s="325">
        <v>0</v>
      </c>
      <c r="Y125" s="492">
        <f t="shared" ref="Y125:Y128" si="320">V125+W125+X125</f>
        <v>0</v>
      </c>
      <c r="Z125" s="492">
        <f t="shared" ref="Z125:Z128" si="321">U125+Y125</f>
        <v>0</v>
      </c>
      <c r="AA125" s="494">
        <f t="shared" ref="AA125:AA128" si="322">ROUND((U125+Y125)*33.8%,0)</f>
        <v>0</v>
      </c>
      <c r="AB125" s="494">
        <f t="shared" ref="AB125:AB128" si="323">ROUND(U125*1%,0)</f>
        <v>0</v>
      </c>
      <c r="AC125" s="492">
        <v>0</v>
      </c>
      <c r="AD125" s="789">
        <f t="shared" ref="AD125:AD128" si="324">Z125+AA125+AB125+AC125</f>
        <v>0</v>
      </c>
      <c r="AE125" s="715">
        <v>0</v>
      </c>
      <c r="AF125" s="326">
        <v>0</v>
      </c>
      <c r="AG125" s="326">
        <v>0</v>
      </c>
      <c r="AH125" s="326">
        <v>0</v>
      </c>
      <c r="AI125" s="326">
        <v>0</v>
      </c>
      <c r="AJ125" s="326">
        <v>0</v>
      </c>
      <c r="AK125" s="626">
        <f t="shared" ref="AK125:AK128" si="325">SUM(AE125:AJ125)</f>
        <v>0</v>
      </c>
      <c r="AL125" s="493">
        <f>I125+AD125</f>
        <v>2967751</v>
      </c>
      <c r="AM125" s="492">
        <f>J125+U125</f>
        <v>2201596</v>
      </c>
      <c r="AN125" s="492">
        <f t="shared" ref="AN125:AN128" si="326">Y125</f>
        <v>0</v>
      </c>
      <c r="AO125" s="492">
        <f t="shared" ref="AO125:AP128" si="327">K125+AA125</f>
        <v>744139</v>
      </c>
      <c r="AP125" s="492">
        <f t="shared" si="327"/>
        <v>22016</v>
      </c>
      <c r="AQ125" s="492">
        <v>0</v>
      </c>
      <c r="AR125" s="491">
        <f t="shared" ref="AR125:AR128" si="328">N125+AK125</f>
        <v>4</v>
      </c>
    </row>
    <row r="126" spans="1:44" s="152" customFormat="1" ht="12.75" customHeight="1" x14ac:dyDescent="0.2">
      <c r="A126" s="140">
        <v>28</v>
      </c>
      <c r="B126" s="141">
        <v>4445</v>
      </c>
      <c r="C126" s="141">
        <v>600075044</v>
      </c>
      <c r="D126" s="141">
        <v>72742631</v>
      </c>
      <c r="E126" s="139" t="s">
        <v>194</v>
      </c>
      <c r="F126" s="141">
        <v>3117</v>
      </c>
      <c r="G126" s="117" t="s">
        <v>280</v>
      </c>
      <c r="H126" s="565" t="s">
        <v>262</v>
      </c>
      <c r="I126" s="586">
        <f>SUM(J126:L126)</f>
        <v>4053669</v>
      </c>
      <c r="J126" s="490">
        <v>3007173</v>
      </c>
      <c r="K126" s="55">
        <f>ROUND(J126*33.8%,0)+1</f>
        <v>1016425</v>
      </c>
      <c r="L126" s="55">
        <f>ROUND(J126*1%,0)-1</f>
        <v>30071</v>
      </c>
      <c r="M126" s="55">
        <v>0</v>
      </c>
      <c r="N126" s="631">
        <v>4.54</v>
      </c>
      <c r="O126" s="440">
        <f t="shared" si="318"/>
        <v>0</v>
      </c>
      <c r="P126" s="325">
        <v>0</v>
      </c>
      <c r="Q126" s="325">
        <v>0</v>
      </c>
      <c r="R126" s="325">
        <v>0</v>
      </c>
      <c r="S126" s="325">
        <v>0</v>
      </c>
      <c r="T126" s="325">
        <v>0</v>
      </c>
      <c r="U126" s="492">
        <f t="shared" si="319"/>
        <v>0</v>
      </c>
      <c r="V126" s="325">
        <v>0</v>
      </c>
      <c r="W126" s="325">
        <v>0</v>
      </c>
      <c r="X126" s="325">
        <v>0</v>
      </c>
      <c r="Y126" s="492">
        <f t="shared" si="320"/>
        <v>0</v>
      </c>
      <c r="Z126" s="492">
        <f t="shared" si="321"/>
        <v>0</v>
      </c>
      <c r="AA126" s="494">
        <f t="shared" si="322"/>
        <v>0</v>
      </c>
      <c r="AB126" s="494">
        <f t="shared" si="323"/>
        <v>0</v>
      </c>
      <c r="AC126" s="492">
        <v>0</v>
      </c>
      <c r="AD126" s="789">
        <f t="shared" si="324"/>
        <v>0</v>
      </c>
      <c r="AE126" s="715">
        <v>0</v>
      </c>
      <c r="AF126" s="326">
        <v>0</v>
      </c>
      <c r="AG126" s="326">
        <v>0</v>
      </c>
      <c r="AH126" s="326">
        <v>0</v>
      </c>
      <c r="AI126" s="326">
        <v>0</v>
      </c>
      <c r="AJ126" s="326">
        <v>0</v>
      </c>
      <c r="AK126" s="626">
        <f t="shared" si="325"/>
        <v>0</v>
      </c>
      <c r="AL126" s="493">
        <f>I126+AD126</f>
        <v>4053669</v>
      </c>
      <c r="AM126" s="492">
        <f>J126+U126</f>
        <v>3007173</v>
      </c>
      <c r="AN126" s="492">
        <f t="shared" si="326"/>
        <v>0</v>
      </c>
      <c r="AO126" s="492">
        <f t="shared" si="327"/>
        <v>1016425</v>
      </c>
      <c r="AP126" s="492">
        <f t="shared" si="327"/>
        <v>30071</v>
      </c>
      <c r="AQ126" s="492">
        <v>0</v>
      </c>
      <c r="AR126" s="491">
        <f t="shared" si="328"/>
        <v>4.54</v>
      </c>
    </row>
    <row r="127" spans="1:44" s="152" customFormat="1" ht="12.75" customHeight="1" x14ac:dyDescent="0.2">
      <c r="A127" s="140">
        <v>28</v>
      </c>
      <c r="B127" s="141">
        <v>4445</v>
      </c>
      <c r="C127" s="141">
        <v>600075044</v>
      </c>
      <c r="D127" s="141">
        <v>72742631</v>
      </c>
      <c r="E127" s="139" t="s">
        <v>194</v>
      </c>
      <c r="F127" s="141">
        <v>3117</v>
      </c>
      <c r="G127" s="117" t="s">
        <v>278</v>
      </c>
      <c r="H127" s="565" t="s">
        <v>263</v>
      </c>
      <c r="I127" s="586">
        <f>SUM(J127:L127)</f>
        <v>0</v>
      </c>
      <c r="J127" s="490">
        <v>0</v>
      </c>
      <c r="K127" s="55">
        <f t="shared" si="316"/>
        <v>0</v>
      </c>
      <c r="L127" s="55">
        <f t="shared" si="317"/>
        <v>0</v>
      </c>
      <c r="M127" s="55">
        <v>0</v>
      </c>
      <c r="N127" s="631">
        <v>0</v>
      </c>
      <c r="O127" s="440">
        <f t="shared" si="318"/>
        <v>0</v>
      </c>
      <c r="P127" s="325">
        <v>820185</v>
      </c>
      <c r="Q127" s="325">
        <v>0</v>
      </c>
      <c r="R127" s="325">
        <v>0</v>
      </c>
      <c r="S127" s="325">
        <v>0</v>
      </c>
      <c r="T127" s="325">
        <v>0</v>
      </c>
      <c r="U127" s="492">
        <f t="shared" si="319"/>
        <v>820185</v>
      </c>
      <c r="V127" s="325">
        <v>0</v>
      </c>
      <c r="W127" s="325">
        <v>0</v>
      </c>
      <c r="X127" s="325">
        <v>0</v>
      </c>
      <c r="Y127" s="492">
        <f t="shared" si="320"/>
        <v>0</v>
      </c>
      <c r="Z127" s="492">
        <f t="shared" si="321"/>
        <v>820185</v>
      </c>
      <c r="AA127" s="494">
        <f t="shared" si="322"/>
        <v>277223</v>
      </c>
      <c r="AB127" s="494">
        <f t="shared" si="323"/>
        <v>8202</v>
      </c>
      <c r="AC127" s="492">
        <v>0</v>
      </c>
      <c r="AD127" s="789">
        <f t="shared" si="324"/>
        <v>1105610</v>
      </c>
      <c r="AE127" s="715">
        <v>0</v>
      </c>
      <c r="AF127" s="326">
        <v>2.0499999999999998</v>
      </c>
      <c r="AG127" s="326">
        <v>0</v>
      </c>
      <c r="AH127" s="326">
        <v>0</v>
      </c>
      <c r="AI127" s="326">
        <v>0</v>
      </c>
      <c r="AJ127" s="326">
        <v>0</v>
      </c>
      <c r="AK127" s="626">
        <f t="shared" si="325"/>
        <v>2.0499999999999998</v>
      </c>
      <c r="AL127" s="493">
        <f>I127+AD127</f>
        <v>1105610</v>
      </c>
      <c r="AM127" s="492">
        <f>J127+U127</f>
        <v>820185</v>
      </c>
      <c r="AN127" s="492">
        <f t="shared" si="326"/>
        <v>0</v>
      </c>
      <c r="AO127" s="492">
        <f t="shared" si="327"/>
        <v>277223</v>
      </c>
      <c r="AP127" s="492">
        <f t="shared" si="327"/>
        <v>8202</v>
      </c>
      <c r="AQ127" s="492">
        <v>0</v>
      </c>
      <c r="AR127" s="491">
        <f t="shared" si="328"/>
        <v>2.0499999999999998</v>
      </c>
    </row>
    <row r="128" spans="1:44" s="152" customFormat="1" ht="12.75" customHeight="1" x14ac:dyDescent="0.2">
      <c r="A128" s="140">
        <v>28</v>
      </c>
      <c r="B128" s="141">
        <v>4445</v>
      </c>
      <c r="C128" s="141">
        <v>600075044</v>
      </c>
      <c r="D128" s="141">
        <v>72742631</v>
      </c>
      <c r="E128" s="135" t="s">
        <v>194</v>
      </c>
      <c r="F128" s="141">
        <v>3143</v>
      </c>
      <c r="G128" s="117" t="s">
        <v>794</v>
      </c>
      <c r="H128" s="157" t="s">
        <v>262</v>
      </c>
      <c r="I128" s="586">
        <f>SUM(J128:L128)</f>
        <v>741229</v>
      </c>
      <c r="J128" s="490">
        <v>549873</v>
      </c>
      <c r="K128" s="55">
        <f t="shared" si="316"/>
        <v>185857</v>
      </c>
      <c r="L128" s="55">
        <f t="shared" si="317"/>
        <v>5499</v>
      </c>
      <c r="M128" s="55">
        <v>0</v>
      </c>
      <c r="N128" s="631">
        <v>1.25</v>
      </c>
      <c r="O128" s="440">
        <f t="shared" si="318"/>
        <v>0</v>
      </c>
      <c r="P128" s="325">
        <v>0</v>
      </c>
      <c r="Q128" s="325">
        <v>0</v>
      </c>
      <c r="R128" s="325">
        <v>0</v>
      </c>
      <c r="S128" s="325">
        <v>0</v>
      </c>
      <c r="T128" s="325">
        <v>0</v>
      </c>
      <c r="U128" s="492">
        <f t="shared" si="319"/>
        <v>0</v>
      </c>
      <c r="V128" s="325">
        <v>0</v>
      </c>
      <c r="W128" s="325">
        <v>0</v>
      </c>
      <c r="X128" s="325">
        <v>0</v>
      </c>
      <c r="Y128" s="492">
        <f t="shared" si="320"/>
        <v>0</v>
      </c>
      <c r="Z128" s="492">
        <f t="shared" si="321"/>
        <v>0</v>
      </c>
      <c r="AA128" s="494">
        <f t="shared" si="322"/>
        <v>0</v>
      </c>
      <c r="AB128" s="494">
        <f t="shared" si="323"/>
        <v>0</v>
      </c>
      <c r="AC128" s="492">
        <v>0</v>
      </c>
      <c r="AD128" s="789">
        <f t="shared" si="324"/>
        <v>0</v>
      </c>
      <c r="AE128" s="715">
        <v>0</v>
      </c>
      <c r="AF128" s="326">
        <v>0</v>
      </c>
      <c r="AG128" s="326">
        <v>0</v>
      </c>
      <c r="AH128" s="326">
        <v>0</v>
      </c>
      <c r="AI128" s="326">
        <v>0</v>
      </c>
      <c r="AJ128" s="326">
        <v>0</v>
      </c>
      <c r="AK128" s="626">
        <f t="shared" si="325"/>
        <v>0</v>
      </c>
      <c r="AL128" s="493">
        <f>I128+AD128</f>
        <v>741229</v>
      </c>
      <c r="AM128" s="492">
        <f>J128+U128</f>
        <v>549873</v>
      </c>
      <c r="AN128" s="492">
        <f t="shared" si="326"/>
        <v>0</v>
      </c>
      <c r="AO128" s="492">
        <f t="shared" si="327"/>
        <v>185857</v>
      </c>
      <c r="AP128" s="492">
        <f t="shared" si="327"/>
        <v>5499</v>
      </c>
      <c r="AQ128" s="492">
        <v>0</v>
      </c>
      <c r="AR128" s="491">
        <f t="shared" si="328"/>
        <v>1.25</v>
      </c>
    </row>
    <row r="129" spans="1:44" s="152" customFormat="1" ht="12.75" customHeight="1" x14ac:dyDescent="0.2">
      <c r="A129" s="107">
        <v>28</v>
      </c>
      <c r="B129" s="15">
        <v>4445</v>
      </c>
      <c r="C129" s="15">
        <v>600075044</v>
      </c>
      <c r="D129" s="15">
        <v>72742631</v>
      </c>
      <c r="E129" s="116" t="s">
        <v>195</v>
      </c>
      <c r="F129" s="15"/>
      <c r="G129" s="106"/>
      <c r="H129" s="560"/>
      <c r="I129" s="794">
        <f t="shared" ref="I129:AR129" si="329">SUM(I125:I128)</f>
        <v>7762649</v>
      </c>
      <c r="J129" s="343">
        <f t="shared" si="329"/>
        <v>5758642</v>
      </c>
      <c r="K129" s="343">
        <f t="shared" si="329"/>
        <v>1946421</v>
      </c>
      <c r="L129" s="343">
        <f t="shared" si="329"/>
        <v>57586</v>
      </c>
      <c r="M129" s="343">
        <f t="shared" si="329"/>
        <v>0</v>
      </c>
      <c r="N129" s="35">
        <f t="shared" si="329"/>
        <v>9.7899999999999991</v>
      </c>
      <c r="O129" s="346">
        <f t="shared" si="329"/>
        <v>0</v>
      </c>
      <c r="P129" s="343">
        <f t="shared" si="329"/>
        <v>820185</v>
      </c>
      <c r="Q129" s="343">
        <f t="shared" si="329"/>
        <v>0</v>
      </c>
      <c r="R129" s="343">
        <f t="shared" si="329"/>
        <v>0</v>
      </c>
      <c r="S129" s="343">
        <f t="shared" si="329"/>
        <v>0</v>
      </c>
      <c r="T129" s="343">
        <f t="shared" si="329"/>
        <v>0</v>
      </c>
      <c r="U129" s="343">
        <f t="shared" si="329"/>
        <v>820185</v>
      </c>
      <c r="V129" s="343">
        <f t="shared" si="329"/>
        <v>0</v>
      </c>
      <c r="W129" s="343">
        <f t="shared" si="329"/>
        <v>0</v>
      </c>
      <c r="X129" s="343">
        <f t="shared" si="329"/>
        <v>0</v>
      </c>
      <c r="Y129" s="343">
        <f t="shared" si="329"/>
        <v>0</v>
      </c>
      <c r="Z129" s="343">
        <f t="shared" si="329"/>
        <v>820185</v>
      </c>
      <c r="AA129" s="343">
        <f t="shared" si="329"/>
        <v>277223</v>
      </c>
      <c r="AB129" s="343">
        <f t="shared" si="329"/>
        <v>8202</v>
      </c>
      <c r="AC129" s="343">
        <f t="shared" si="329"/>
        <v>0</v>
      </c>
      <c r="AD129" s="799">
        <f t="shared" si="329"/>
        <v>1105610</v>
      </c>
      <c r="AE129" s="803">
        <f t="shared" si="329"/>
        <v>0</v>
      </c>
      <c r="AF129" s="344">
        <f t="shared" si="329"/>
        <v>2.0499999999999998</v>
      </c>
      <c r="AG129" s="344">
        <f t="shared" si="329"/>
        <v>0</v>
      </c>
      <c r="AH129" s="344">
        <f t="shared" si="329"/>
        <v>0</v>
      </c>
      <c r="AI129" s="344">
        <f t="shared" si="329"/>
        <v>0</v>
      </c>
      <c r="AJ129" s="344">
        <f t="shared" si="329"/>
        <v>0</v>
      </c>
      <c r="AK129" s="35">
        <f t="shared" si="329"/>
        <v>2.0499999999999998</v>
      </c>
      <c r="AL129" s="346">
        <f t="shared" si="329"/>
        <v>8868259</v>
      </c>
      <c r="AM129" s="343">
        <f t="shared" si="329"/>
        <v>6578827</v>
      </c>
      <c r="AN129" s="343">
        <f t="shared" si="329"/>
        <v>0</v>
      </c>
      <c r="AO129" s="343">
        <f t="shared" si="329"/>
        <v>2223644</v>
      </c>
      <c r="AP129" s="343">
        <f t="shared" si="329"/>
        <v>65788</v>
      </c>
      <c r="AQ129" s="343">
        <f t="shared" si="329"/>
        <v>0</v>
      </c>
      <c r="AR129" s="344">
        <f t="shared" si="329"/>
        <v>11.84</v>
      </c>
    </row>
    <row r="130" spans="1:44" s="152" customFormat="1" ht="12.75" customHeight="1" x14ac:dyDescent="0.2">
      <c r="A130" s="140">
        <v>29</v>
      </c>
      <c r="B130" s="141">
        <v>4446</v>
      </c>
      <c r="C130" s="141">
        <v>600074587</v>
      </c>
      <c r="D130" s="141">
        <v>70695504</v>
      </c>
      <c r="E130" s="139" t="s">
        <v>761</v>
      </c>
      <c r="F130" s="141">
        <v>3111</v>
      </c>
      <c r="G130" s="117" t="s">
        <v>277</v>
      </c>
      <c r="H130" s="565" t="s">
        <v>262</v>
      </c>
      <c r="I130" s="586">
        <f>SUM(J130:L130)</f>
        <v>1634630</v>
      </c>
      <c r="J130" s="490">
        <v>1212634</v>
      </c>
      <c r="K130" s="55">
        <f t="shared" ref="K130:K133" si="330">ROUND(J130*33.8%,0)</f>
        <v>409870</v>
      </c>
      <c r="L130" s="55">
        <f t="shared" ref="L130:L133" si="331">ROUND(J130*1%,0)</f>
        <v>12126</v>
      </c>
      <c r="M130" s="55">
        <v>0</v>
      </c>
      <c r="N130" s="631">
        <v>2.02</v>
      </c>
      <c r="O130" s="445">
        <f t="shared" ref="O130:O133" si="332">V130*-1</f>
        <v>0</v>
      </c>
      <c r="P130" s="325">
        <v>0</v>
      </c>
      <c r="Q130" s="325">
        <v>0</v>
      </c>
      <c r="R130" s="325">
        <v>0</v>
      </c>
      <c r="S130" s="325">
        <v>0</v>
      </c>
      <c r="T130" s="325">
        <v>0</v>
      </c>
      <c r="U130" s="492">
        <f t="shared" ref="U130:U133" si="333">O130+P130+Q130+R130+S130+T130</f>
        <v>0</v>
      </c>
      <c r="V130" s="325">
        <v>0</v>
      </c>
      <c r="W130" s="325">
        <v>0</v>
      </c>
      <c r="X130" s="325">
        <v>0</v>
      </c>
      <c r="Y130" s="492">
        <f t="shared" ref="Y130:Y133" si="334">V130+W130+X130</f>
        <v>0</v>
      </c>
      <c r="Z130" s="492">
        <f t="shared" ref="Z130:Z133" si="335">U130+Y130</f>
        <v>0</v>
      </c>
      <c r="AA130" s="494">
        <f t="shared" ref="AA130:AA133" si="336">ROUND((U130+Y130)*33.8%,0)</f>
        <v>0</v>
      </c>
      <c r="AB130" s="494">
        <f t="shared" ref="AB130:AB133" si="337">ROUND(U130*1%,0)</f>
        <v>0</v>
      </c>
      <c r="AC130" s="492">
        <v>0</v>
      </c>
      <c r="AD130" s="789">
        <f t="shared" ref="AD130:AD133" si="338">Z130+AA130+AB130+AC130</f>
        <v>0</v>
      </c>
      <c r="AE130" s="715">
        <v>0</v>
      </c>
      <c r="AF130" s="326">
        <v>0</v>
      </c>
      <c r="AG130" s="326">
        <v>0</v>
      </c>
      <c r="AH130" s="326">
        <v>0</v>
      </c>
      <c r="AI130" s="326">
        <v>0</v>
      </c>
      <c r="AJ130" s="326">
        <v>0</v>
      </c>
      <c r="AK130" s="626">
        <f t="shared" ref="AK130:AK133" si="339">SUM(AE130:AJ130)</f>
        <v>0</v>
      </c>
      <c r="AL130" s="493">
        <f>I130+AD130</f>
        <v>1634630</v>
      </c>
      <c r="AM130" s="492">
        <f>J130+U130</f>
        <v>1212634</v>
      </c>
      <c r="AN130" s="492">
        <f t="shared" ref="AN130:AN133" si="340">Y130</f>
        <v>0</v>
      </c>
      <c r="AO130" s="492">
        <f t="shared" ref="AO130:AP133" si="341">K130+AA130</f>
        <v>409870</v>
      </c>
      <c r="AP130" s="492">
        <f t="shared" si="341"/>
        <v>12126</v>
      </c>
      <c r="AQ130" s="492">
        <v>0</v>
      </c>
      <c r="AR130" s="491">
        <f t="shared" ref="AR130:AR133" si="342">N130+AK130</f>
        <v>2.02</v>
      </c>
    </row>
    <row r="131" spans="1:44" s="152" customFormat="1" ht="12.75" customHeight="1" x14ac:dyDescent="0.2">
      <c r="A131" s="140">
        <v>29</v>
      </c>
      <c r="B131" s="141">
        <v>4446</v>
      </c>
      <c r="C131" s="141">
        <v>600074587</v>
      </c>
      <c r="D131" s="141">
        <v>70695504</v>
      </c>
      <c r="E131" s="139" t="s">
        <v>761</v>
      </c>
      <c r="F131" s="141">
        <v>3117</v>
      </c>
      <c r="G131" s="117" t="s">
        <v>280</v>
      </c>
      <c r="H131" s="565" t="s">
        <v>262</v>
      </c>
      <c r="I131" s="586">
        <f>SUM(J131:L131)</f>
        <v>2464626</v>
      </c>
      <c r="J131" s="490">
        <v>1828357</v>
      </c>
      <c r="K131" s="55">
        <f t="shared" si="330"/>
        <v>617985</v>
      </c>
      <c r="L131" s="55">
        <f t="shared" si="331"/>
        <v>18284</v>
      </c>
      <c r="M131" s="55">
        <v>0</v>
      </c>
      <c r="N131" s="631">
        <v>2.83</v>
      </c>
      <c r="O131" s="440">
        <f t="shared" si="332"/>
        <v>0</v>
      </c>
      <c r="P131" s="325">
        <v>0</v>
      </c>
      <c r="Q131" s="325">
        <v>0</v>
      </c>
      <c r="R131" s="325">
        <v>0</v>
      </c>
      <c r="S131" s="325">
        <v>0</v>
      </c>
      <c r="T131" s="325">
        <v>0</v>
      </c>
      <c r="U131" s="492">
        <f t="shared" si="333"/>
        <v>0</v>
      </c>
      <c r="V131" s="325">
        <v>0</v>
      </c>
      <c r="W131" s="325">
        <v>0</v>
      </c>
      <c r="X131" s="325">
        <v>0</v>
      </c>
      <c r="Y131" s="492">
        <f t="shared" si="334"/>
        <v>0</v>
      </c>
      <c r="Z131" s="492">
        <f t="shared" si="335"/>
        <v>0</v>
      </c>
      <c r="AA131" s="494">
        <f t="shared" si="336"/>
        <v>0</v>
      </c>
      <c r="AB131" s="494">
        <f t="shared" si="337"/>
        <v>0</v>
      </c>
      <c r="AC131" s="492">
        <v>0</v>
      </c>
      <c r="AD131" s="789">
        <f t="shared" si="338"/>
        <v>0</v>
      </c>
      <c r="AE131" s="715">
        <v>0</v>
      </c>
      <c r="AF131" s="326">
        <v>0</v>
      </c>
      <c r="AG131" s="326">
        <v>0</v>
      </c>
      <c r="AH131" s="326">
        <v>0</v>
      </c>
      <c r="AI131" s="326">
        <v>0</v>
      </c>
      <c r="AJ131" s="326">
        <v>0</v>
      </c>
      <c r="AK131" s="626">
        <f t="shared" si="339"/>
        <v>0</v>
      </c>
      <c r="AL131" s="493">
        <f>I131+AD131</f>
        <v>2464626</v>
      </c>
      <c r="AM131" s="492">
        <f>J131+U131</f>
        <v>1828357</v>
      </c>
      <c r="AN131" s="492">
        <f t="shared" si="340"/>
        <v>0</v>
      </c>
      <c r="AO131" s="492">
        <f t="shared" si="341"/>
        <v>617985</v>
      </c>
      <c r="AP131" s="492">
        <f t="shared" si="341"/>
        <v>18284</v>
      </c>
      <c r="AQ131" s="492">
        <v>0</v>
      </c>
      <c r="AR131" s="491">
        <f t="shared" si="342"/>
        <v>2.83</v>
      </c>
    </row>
    <row r="132" spans="1:44" s="152" customFormat="1" ht="12.75" customHeight="1" x14ac:dyDescent="0.2">
      <c r="A132" s="140">
        <v>29</v>
      </c>
      <c r="B132" s="141">
        <v>4446</v>
      </c>
      <c r="C132" s="141">
        <v>600074587</v>
      </c>
      <c r="D132" s="141">
        <v>70695504</v>
      </c>
      <c r="E132" s="139" t="s">
        <v>761</v>
      </c>
      <c r="F132" s="141">
        <v>3117</v>
      </c>
      <c r="G132" s="117" t="s">
        <v>278</v>
      </c>
      <c r="H132" s="565" t="s">
        <v>263</v>
      </c>
      <c r="I132" s="586">
        <f>SUM(J132:L132)</f>
        <v>0</v>
      </c>
      <c r="J132" s="490">
        <v>0</v>
      </c>
      <c r="K132" s="55">
        <f t="shared" si="330"/>
        <v>0</v>
      </c>
      <c r="L132" s="55">
        <f t="shared" si="331"/>
        <v>0</v>
      </c>
      <c r="M132" s="55">
        <v>0</v>
      </c>
      <c r="N132" s="631">
        <v>0</v>
      </c>
      <c r="O132" s="440">
        <f t="shared" si="332"/>
        <v>0</v>
      </c>
      <c r="P132" s="325">
        <v>396847</v>
      </c>
      <c r="Q132" s="325">
        <v>0</v>
      </c>
      <c r="R132" s="325">
        <v>0</v>
      </c>
      <c r="S132" s="325">
        <v>0</v>
      </c>
      <c r="T132" s="325">
        <v>0</v>
      </c>
      <c r="U132" s="492">
        <f t="shared" si="333"/>
        <v>396847</v>
      </c>
      <c r="V132" s="325">
        <v>0</v>
      </c>
      <c r="W132" s="325">
        <v>0</v>
      </c>
      <c r="X132" s="325">
        <v>0</v>
      </c>
      <c r="Y132" s="492">
        <f t="shared" si="334"/>
        <v>0</v>
      </c>
      <c r="Z132" s="492">
        <f t="shared" si="335"/>
        <v>396847</v>
      </c>
      <c r="AA132" s="494">
        <f t="shared" si="336"/>
        <v>134134</v>
      </c>
      <c r="AB132" s="494">
        <f t="shared" si="337"/>
        <v>3968</v>
      </c>
      <c r="AC132" s="492">
        <v>0</v>
      </c>
      <c r="AD132" s="789">
        <f t="shared" si="338"/>
        <v>534949</v>
      </c>
      <c r="AE132" s="715">
        <v>0</v>
      </c>
      <c r="AF132" s="326">
        <v>1</v>
      </c>
      <c r="AG132" s="326">
        <v>0</v>
      </c>
      <c r="AH132" s="326">
        <v>0</v>
      </c>
      <c r="AI132" s="326">
        <v>0</v>
      </c>
      <c r="AJ132" s="326">
        <v>0</v>
      </c>
      <c r="AK132" s="626">
        <f t="shared" si="339"/>
        <v>1</v>
      </c>
      <c r="AL132" s="493">
        <f>I132+AD132</f>
        <v>534949</v>
      </c>
      <c r="AM132" s="492">
        <f>J132+U132</f>
        <v>396847</v>
      </c>
      <c r="AN132" s="492">
        <f t="shared" si="340"/>
        <v>0</v>
      </c>
      <c r="AO132" s="492">
        <f t="shared" si="341"/>
        <v>134134</v>
      </c>
      <c r="AP132" s="492">
        <f t="shared" si="341"/>
        <v>3968</v>
      </c>
      <c r="AQ132" s="492">
        <v>0</v>
      </c>
      <c r="AR132" s="491">
        <f t="shared" si="342"/>
        <v>1</v>
      </c>
    </row>
    <row r="133" spans="1:44" s="152" customFormat="1" ht="12.75" customHeight="1" x14ac:dyDescent="0.2">
      <c r="A133" s="140">
        <v>29</v>
      </c>
      <c r="B133" s="141">
        <v>4446</v>
      </c>
      <c r="C133" s="141">
        <v>600074587</v>
      </c>
      <c r="D133" s="141">
        <v>70695504</v>
      </c>
      <c r="E133" s="139" t="s">
        <v>761</v>
      </c>
      <c r="F133" s="141">
        <v>3143</v>
      </c>
      <c r="G133" s="117" t="s">
        <v>794</v>
      </c>
      <c r="H133" s="157" t="s">
        <v>262</v>
      </c>
      <c r="I133" s="586">
        <f>SUM(J133:L133)</f>
        <v>619352</v>
      </c>
      <c r="J133" s="490">
        <v>459460</v>
      </c>
      <c r="K133" s="55">
        <f t="shared" si="330"/>
        <v>155297</v>
      </c>
      <c r="L133" s="55">
        <f t="shared" si="331"/>
        <v>4595</v>
      </c>
      <c r="M133" s="55">
        <v>0</v>
      </c>
      <c r="N133" s="631">
        <v>0.95</v>
      </c>
      <c r="O133" s="440">
        <f t="shared" si="332"/>
        <v>0</v>
      </c>
      <c r="P133" s="325">
        <v>0</v>
      </c>
      <c r="Q133" s="325">
        <v>0</v>
      </c>
      <c r="R133" s="325">
        <v>0</v>
      </c>
      <c r="S133" s="325">
        <v>0</v>
      </c>
      <c r="T133" s="325">
        <v>0</v>
      </c>
      <c r="U133" s="492">
        <f t="shared" si="333"/>
        <v>0</v>
      </c>
      <c r="V133" s="325">
        <v>0</v>
      </c>
      <c r="W133" s="325">
        <v>0</v>
      </c>
      <c r="X133" s="325">
        <v>0</v>
      </c>
      <c r="Y133" s="492">
        <f t="shared" si="334"/>
        <v>0</v>
      </c>
      <c r="Z133" s="492">
        <f t="shared" si="335"/>
        <v>0</v>
      </c>
      <c r="AA133" s="494">
        <f t="shared" si="336"/>
        <v>0</v>
      </c>
      <c r="AB133" s="494">
        <f t="shared" si="337"/>
        <v>0</v>
      </c>
      <c r="AC133" s="492">
        <v>0</v>
      </c>
      <c r="AD133" s="789">
        <f t="shared" si="338"/>
        <v>0</v>
      </c>
      <c r="AE133" s="715">
        <v>0</v>
      </c>
      <c r="AF133" s="326">
        <v>0</v>
      </c>
      <c r="AG133" s="326">
        <v>0</v>
      </c>
      <c r="AH133" s="326">
        <v>0</v>
      </c>
      <c r="AI133" s="326">
        <v>0</v>
      </c>
      <c r="AJ133" s="326">
        <v>0</v>
      </c>
      <c r="AK133" s="626">
        <f t="shared" si="339"/>
        <v>0</v>
      </c>
      <c r="AL133" s="493">
        <f>I133+AD133</f>
        <v>619352</v>
      </c>
      <c r="AM133" s="492">
        <f>J133+U133</f>
        <v>459460</v>
      </c>
      <c r="AN133" s="492">
        <f t="shared" si="340"/>
        <v>0</v>
      </c>
      <c r="AO133" s="492">
        <f t="shared" si="341"/>
        <v>155297</v>
      </c>
      <c r="AP133" s="492">
        <f t="shared" si="341"/>
        <v>4595</v>
      </c>
      <c r="AQ133" s="492">
        <v>0</v>
      </c>
      <c r="AR133" s="491">
        <f t="shared" si="342"/>
        <v>0.95</v>
      </c>
    </row>
    <row r="134" spans="1:44" s="152" customFormat="1" ht="12.75" customHeight="1" x14ac:dyDescent="0.2">
      <c r="A134" s="107">
        <v>29</v>
      </c>
      <c r="B134" s="15">
        <v>4446</v>
      </c>
      <c r="C134" s="15">
        <v>600074587</v>
      </c>
      <c r="D134" s="15">
        <v>70695504</v>
      </c>
      <c r="E134" s="116" t="s">
        <v>196</v>
      </c>
      <c r="F134" s="15"/>
      <c r="G134" s="106"/>
      <c r="H134" s="560"/>
      <c r="I134" s="794">
        <f t="shared" ref="I134:AR134" si="343">SUM(I130:I133)</f>
        <v>4718608</v>
      </c>
      <c r="J134" s="343">
        <f t="shared" si="343"/>
        <v>3500451</v>
      </c>
      <c r="K134" s="343">
        <f t="shared" si="343"/>
        <v>1183152</v>
      </c>
      <c r="L134" s="343">
        <f t="shared" si="343"/>
        <v>35005</v>
      </c>
      <c r="M134" s="343">
        <f t="shared" si="343"/>
        <v>0</v>
      </c>
      <c r="N134" s="35">
        <f t="shared" si="343"/>
        <v>5.8</v>
      </c>
      <c r="O134" s="346">
        <f t="shared" si="343"/>
        <v>0</v>
      </c>
      <c r="P134" s="343">
        <f t="shared" si="343"/>
        <v>396847</v>
      </c>
      <c r="Q134" s="343">
        <f t="shared" si="343"/>
        <v>0</v>
      </c>
      <c r="R134" s="343">
        <f t="shared" si="343"/>
        <v>0</v>
      </c>
      <c r="S134" s="343">
        <f t="shared" si="343"/>
        <v>0</v>
      </c>
      <c r="T134" s="343">
        <f t="shared" si="343"/>
        <v>0</v>
      </c>
      <c r="U134" s="343">
        <f t="shared" si="343"/>
        <v>396847</v>
      </c>
      <c r="V134" s="343">
        <f t="shared" si="343"/>
        <v>0</v>
      </c>
      <c r="W134" s="343">
        <f t="shared" si="343"/>
        <v>0</v>
      </c>
      <c r="X134" s="343">
        <f t="shared" si="343"/>
        <v>0</v>
      </c>
      <c r="Y134" s="343">
        <f t="shared" si="343"/>
        <v>0</v>
      </c>
      <c r="Z134" s="343">
        <f t="shared" si="343"/>
        <v>396847</v>
      </c>
      <c r="AA134" s="343">
        <f t="shared" si="343"/>
        <v>134134</v>
      </c>
      <c r="AB134" s="343">
        <f t="shared" si="343"/>
        <v>3968</v>
      </c>
      <c r="AC134" s="343">
        <f t="shared" si="343"/>
        <v>0</v>
      </c>
      <c r="AD134" s="799">
        <f t="shared" si="343"/>
        <v>534949</v>
      </c>
      <c r="AE134" s="803">
        <f t="shared" si="343"/>
        <v>0</v>
      </c>
      <c r="AF134" s="344">
        <f t="shared" si="343"/>
        <v>1</v>
      </c>
      <c r="AG134" s="344">
        <f t="shared" si="343"/>
        <v>0</v>
      </c>
      <c r="AH134" s="344">
        <f t="shared" si="343"/>
        <v>0</v>
      </c>
      <c r="AI134" s="344">
        <f t="shared" si="343"/>
        <v>0</v>
      </c>
      <c r="AJ134" s="344">
        <f t="shared" si="343"/>
        <v>0</v>
      </c>
      <c r="AK134" s="35">
        <f t="shared" si="343"/>
        <v>1</v>
      </c>
      <c r="AL134" s="346">
        <f t="shared" si="343"/>
        <v>5253557</v>
      </c>
      <c r="AM134" s="343">
        <f t="shared" si="343"/>
        <v>3897298</v>
      </c>
      <c r="AN134" s="343">
        <f t="shared" si="343"/>
        <v>0</v>
      </c>
      <c r="AO134" s="343">
        <f t="shared" si="343"/>
        <v>1317286</v>
      </c>
      <c r="AP134" s="343">
        <f t="shared" si="343"/>
        <v>38973</v>
      </c>
      <c r="AQ134" s="343">
        <f t="shared" si="343"/>
        <v>0</v>
      </c>
      <c r="AR134" s="344">
        <f t="shared" si="343"/>
        <v>6.8</v>
      </c>
    </row>
    <row r="135" spans="1:44" s="152" customFormat="1" ht="12.75" customHeight="1" x14ac:dyDescent="0.2">
      <c r="A135" s="140">
        <v>30</v>
      </c>
      <c r="B135" s="141">
        <v>4431</v>
      </c>
      <c r="C135" s="141">
        <v>600074820</v>
      </c>
      <c r="D135" s="141">
        <v>70981515</v>
      </c>
      <c r="E135" s="139" t="s">
        <v>197</v>
      </c>
      <c r="F135" s="141">
        <v>3111</v>
      </c>
      <c r="G135" s="117" t="s">
        <v>277</v>
      </c>
      <c r="H135" s="565" t="s">
        <v>262</v>
      </c>
      <c r="I135" s="586">
        <f>SUM(J135:L135)</f>
        <v>3176438</v>
      </c>
      <c r="J135" s="490">
        <v>2356408</v>
      </c>
      <c r="K135" s="55">
        <f t="shared" ref="K135:K138" si="344">ROUND(J135*33.8%,0)</f>
        <v>796466</v>
      </c>
      <c r="L135" s="55">
        <f t="shared" ref="L135:L138" si="345">ROUND(J135*1%,0)</f>
        <v>23564</v>
      </c>
      <c r="M135" s="55">
        <v>0</v>
      </c>
      <c r="N135" s="631">
        <v>4</v>
      </c>
      <c r="O135" s="445">
        <f t="shared" ref="O135:O138" si="346">V135*-1</f>
        <v>-6000</v>
      </c>
      <c r="P135" s="325">
        <v>0</v>
      </c>
      <c r="Q135" s="325">
        <v>0</v>
      </c>
      <c r="R135" s="325">
        <v>0</v>
      </c>
      <c r="S135" s="325">
        <v>0</v>
      </c>
      <c r="T135" s="325">
        <v>0</v>
      </c>
      <c r="U135" s="492">
        <f t="shared" ref="U135:U138" si="347">O135+P135+Q135+R135+S135+T135</f>
        <v>-6000</v>
      </c>
      <c r="V135" s="325">
        <v>6000</v>
      </c>
      <c r="W135" s="325">
        <v>0</v>
      </c>
      <c r="X135" s="325">
        <v>0</v>
      </c>
      <c r="Y135" s="492">
        <f t="shared" ref="Y135:Y138" si="348">V135+W135+X135</f>
        <v>6000</v>
      </c>
      <c r="Z135" s="492">
        <f t="shared" ref="Z135:Z138" si="349">U135+Y135</f>
        <v>0</v>
      </c>
      <c r="AA135" s="494">
        <f t="shared" ref="AA135:AA138" si="350">ROUND((U135+Y135)*33.8%,0)</f>
        <v>0</v>
      </c>
      <c r="AB135" s="494">
        <f t="shared" ref="AB135:AB138" si="351">ROUND(U135*1%,0)</f>
        <v>-60</v>
      </c>
      <c r="AC135" s="492">
        <v>0</v>
      </c>
      <c r="AD135" s="789">
        <f t="shared" ref="AD135:AD138" si="352">Z135+AA135+AB135+AC135</f>
        <v>-60</v>
      </c>
      <c r="AE135" s="715">
        <v>0</v>
      </c>
      <c r="AF135" s="326">
        <v>0</v>
      </c>
      <c r="AG135" s="326">
        <v>0</v>
      </c>
      <c r="AH135" s="326">
        <v>0</v>
      </c>
      <c r="AI135" s="326">
        <v>0</v>
      </c>
      <c r="AJ135" s="326">
        <v>0</v>
      </c>
      <c r="AK135" s="626">
        <f t="shared" ref="AK135:AK138" si="353">SUM(AE135:AJ135)</f>
        <v>0</v>
      </c>
      <c r="AL135" s="493">
        <f>I135+AD135</f>
        <v>3176378</v>
      </c>
      <c r="AM135" s="492">
        <f>J135+U135</f>
        <v>2350408</v>
      </c>
      <c r="AN135" s="492">
        <f t="shared" ref="AN135:AN138" si="354">Y135</f>
        <v>6000</v>
      </c>
      <c r="AO135" s="492">
        <f t="shared" ref="AO135:AP138" si="355">K135+AA135</f>
        <v>796466</v>
      </c>
      <c r="AP135" s="492">
        <f t="shared" si="355"/>
        <v>23504</v>
      </c>
      <c r="AQ135" s="492">
        <v>0</v>
      </c>
      <c r="AR135" s="491">
        <f t="shared" ref="AR135:AR138" si="356">N135+AK135</f>
        <v>4</v>
      </c>
    </row>
    <row r="136" spans="1:44" s="152" customFormat="1" ht="12.75" customHeight="1" x14ac:dyDescent="0.2">
      <c r="A136" s="140">
        <v>30</v>
      </c>
      <c r="B136" s="141">
        <v>4431</v>
      </c>
      <c r="C136" s="141">
        <v>600074820</v>
      </c>
      <c r="D136" s="141">
        <v>70981515</v>
      </c>
      <c r="E136" s="139" t="s">
        <v>197</v>
      </c>
      <c r="F136" s="141">
        <v>3117</v>
      </c>
      <c r="G136" s="117" t="s">
        <v>280</v>
      </c>
      <c r="H136" s="565" t="s">
        <v>262</v>
      </c>
      <c r="I136" s="586">
        <f>SUM(J136:L136)</f>
        <v>3941814</v>
      </c>
      <c r="J136" s="490">
        <v>2924194</v>
      </c>
      <c r="K136" s="55">
        <f t="shared" si="344"/>
        <v>988378</v>
      </c>
      <c r="L136" s="55">
        <f t="shared" si="345"/>
        <v>29242</v>
      </c>
      <c r="M136" s="55">
        <v>0</v>
      </c>
      <c r="N136" s="631">
        <v>4.5</v>
      </c>
      <c r="O136" s="440">
        <f t="shared" si="346"/>
        <v>-6000</v>
      </c>
      <c r="P136" s="325">
        <v>0</v>
      </c>
      <c r="Q136" s="325">
        <v>0</v>
      </c>
      <c r="R136" s="325">
        <v>0</v>
      </c>
      <c r="S136" s="325">
        <v>0</v>
      </c>
      <c r="T136" s="325">
        <v>0</v>
      </c>
      <c r="U136" s="492">
        <f t="shared" si="347"/>
        <v>-6000</v>
      </c>
      <c r="V136" s="325">
        <v>6000</v>
      </c>
      <c r="W136" s="325">
        <v>27800</v>
      </c>
      <c r="X136" s="325">
        <v>0</v>
      </c>
      <c r="Y136" s="492">
        <f t="shared" si="348"/>
        <v>33800</v>
      </c>
      <c r="Z136" s="492">
        <f t="shared" si="349"/>
        <v>27800</v>
      </c>
      <c r="AA136" s="494">
        <f t="shared" si="350"/>
        <v>9396</v>
      </c>
      <c r="AB136" s="494">
        <f t="shared" si="351"/>
        <v>-60</v>
      </c>
      <c r="AC136" s="492">
        <v>0</v>
      </c>
      <c r="AD136" s="789">
        <f t="shared" si="352"/>
        <v>37136</v>
      </c>
      <c r="AE136" s="715">
        <v>0</v>
      </c>
      <c r="AF136" s="326">
        <v>0</v>
      </c>
      <c r="AG136" s="326">
        <v>0</v>
      </c>
      <c r="AH136" s="326">
        <v>0</v>
      </c>
      <c r="AI136" s="326">
        <v>0</v>
      </c>
      <c r="AJ136" s="326">
        <v>0</v>
      </c>
      <c r="AK136" s="626">
        <f t="shared" si="353"/>
        <v>0</v>
      </c>
      <c r="AL136" s="493">
        <f>I136+AD136</f>
        <v>3978950</v>
      </c>
      <c r="AM136" s="492">
        <f>J136+U136</f>
        <v>2918194</v>
      </c>
      <c r="AN136" s="492">
        <f t="shared" si="354"/>
        <v>33800</v>
      </c>
      <c r="AO136" s="492">
        <f t="shared" si="355"/>
        <v>997774</v>
      </c>
      <c r="AP136" s="492">
        <f t="shared" si="355"/>
        <v>29182</v>
      </c>
      <c r="AQ136" s="492">
        <v>0</v>
      </c>
      <c r="AR136" s="491">
        <f t="shared" si="356"/>
        <v>4.5</v>
      </c>
    </row>
    <row r="137" spans="1:44" s="152" customFormat="1" ht="12.75" customHeight="1" x14ac:dyDescent="0.2">
      <c r="A137" s="140">
        <v>30</v>
      </c>
      <c r="B137" s="141">
        <v>4431</v>
      </c>
      <c r="C137" s="141">
        <v>600074820</v>
      </c>
      <c r="D137" s="141">
        <v>70981515</v>
      </c>
      <c r="E137" s="139" t="s">
        <v>197</v>
      </c>
      <c r="F137" s="141">
        <v>3117</v>
      </c>
      <c r="G137" s="117" t="s">
        <v>278</v>
      </c>
      <c r="H137" s="565" t="s">
        <v>263</v>
      </c>
      <c r="I137" s="586">
        <f>SUM(J137:L137)</f>
        <v>0</v>
      </c>
      <c r="J137" s="490">
        <v>0</v>
      </c>
      <c r="K137" s="55">
        <f t="shared" si="344"/>
        <v>0</v>
      </c>
      <c r="L137" s="55">
        <f t="shared" si="345"/>
        <v>0</v>
      </c>
      <c r="M137" s="55">
        <v>0</v>
      </c>
      <c r="N137" s="631">
        <v>0</v>
      </c>
      <c r="O137" s="440">
        <f t="shared" si="346"/>
        <v>0</v>
      </c>
      <c r="P137" s="325">
        <v>1300785</v>
      </c>
      <c r="Q137" s="325">
        <v>0</v>
      </c>
      <c r="R137" s="325">
        <v>0</v>
      </c>
      <c r="S137" s="325">
        <v>0</v>
      </c>
      <c r="T137" s="325">
        <v>0</v>
      </c>
      <c r="U137" s="492">
        <f t="shared" si="347"/>
        <v>1300785</v>
      </c>
      <c r="V137" s="325">
        <v>0</v>
      </c>
      <c r="W137" s="325">
        <v>0</v>
      </c>
      <c r="X137" s="325">
        <v>0</v>
      </c>
      <c r="Y137" s="492">
        <f t="shared" si="348"/>
        <v>0</v>
      </c>
      <c r="Z137" s="492">
        <f t="shared" si="349"/>
        <v>1300785</v>
      </c>
      <c r="AA137" s="494">
        <f t="shared" si="350"/>
        <v>439665</v>
      </c>
      <c r="AB137" s="494">
        <f t="shared" si="351"/>
        <v>13008</v>
      </c>
      <c r="AC137" s="492">
        <v>0</v>
      </c>
      <c r="AD137" s="789">
        <f t="shared" si="352"/>
        <v>1753458</v>
      </c>
      <c r="AE137" s="715">
        <v>0</v>
      </c>
      <c r="AF137" s="326">
        <v>3.28</v>
      </c>
      <c r="AG137" s="326">
        <v>0</v>
      </c>
      <c r="AH137" s="326">
        <v>0</v>
      </c>
      <c r="AI137" s="326">
        <v>0</v>
      </c>
      <c r="AJ137" s="326">
        <v>0</v>
      </c>
      <c r="AK137" s="626">
        <f t="shared" si="353"/>
        <v>3.28</v>
      </c>
      <c r="AL137" s="493">
        <f>I137+AD137</f>
        <v>1753458</v>
      </c>
      <c r="AM137" s="492">
        <f>J137+U137</f>
        <v>1300785</v>
      </c>
      <c r="AN137" s="492">
        <f t="shared" si="354"/>
        <v>0</v>
      </c>
      <c r="AO137" s="492">
        <f t="shared" si="355"/>
        <v>439665</v>
      </c>
      <c r="AP137" s="492">
        <f t="shared" si="355"/>
        <v>13008</v>
      </c>
      <c r="AQ137" s="492">
        <v>0</v>
      </c>
      <c r="AR137" s="491">
        <f t="shared" si="356"/>
        <v>3.28</v>
      </c>
    </row>
    <row r="138" spans="1:44" s="152" customFormat="1" ht="12.75" customHeight="1" x14ac:dyDescent="0.2">
      <c r="A138" s="140">
        <v>30</v>
      </c>
      <c r="B138" s="141">
        <v>4431</v>
      </c>
      <c r="C138" s="141">
        <v>600074820</v>
      </c>
      <c r="D138" s="141">
        <v>70981515</v>
      </c>
      <c r="E138" s="139" t="s">
        <v>197</v>
      </c>
      <c r="F138" s="141">
        <v>3143</v>
      </c>
      <c r="G138" s="117" t="s">
        <v>794</v>
      </c>
      <c r="H138" s="157" t="s">
        <v>262</v>
      </c>
      <c r="I138" s="586">
        <f>SUM(J138:L138)</f>
        <v>1322014</v>
      </c>
      <c r="J138" s="490">
        <v>980723</v>
      </c>
      <c r="K138" s="55">
        <f t="shared" si="344"/>
        <v>331484</v>
      </c>
      <c r="L138" s="55">
        <f t="shared" si="345"/>
        <v>9807</v>
      </c>
      <c r="M138" s="55">
        <v>0</v>
      </c>
      <c r="N138" s="631">
        <v>2</v>
      </c>
      <c r="O138" s="440">
        <f t="shared" si="346"/>
        <v>0</v>
      </c>
      <c r="P138" s="325">
        <v>0</v>
      </c>
      <c r="Q138" s="325">
        <v>0</v>
      </c>
      <c r="R138" s="325">
        <v>0</v>
      </c>
      <c r="S138" s="325">
        <v>0</v>
      </c>
      <c r="T138" s="325">
        <v>0</v>
      </c>
      <c r="U138" s="492">
        <f t="shared" si="347"/>
        <v>0</v>
      </c>
      <c r="V138" s="325">
        <v>0</v>
      </c>
      <c r="W138" s="325">
        <v>0</v>
      </c>
      <c r="X138" s="325">
        <v>0</v>
      </c>
      <c r="Y138" s="492">
        <f t="shared" si="348"/>
        <v>0</v>
      </c>
      <c r="Z138" s="492">
        <f t="shared" si="349"/>
        <v>0</v>
      </c>
      <c r="AA138" s="494">
        <f t="shared" si="350"/>
        <v>0</v>
      </c>
      <c r="AB138" s="494">
        <f t="shared" si="351"/>
        <v>0</v>
      </c>
      <c r="AC138" s="492">
        <v>0</v>
      </c>
      <c r="AD138" s="789">
        <f t="shared" si="352"/>
        <v>0</v>
      </c>
      <c r="AE138" s="715">
        <v>0</v>
      </c>
      <c r="AF138" s="326">
        <v>0</v>
      </c>
      <c r="AG138" s="326">
        <v>0</v>
      </c>
      <c r="AH138" s="326">
        <v>0</v>
      </c>
      <c r="AI138" s="326">
        <v>0</v>
      </c>
      <c r="AJ138" s="326">
        <v>0</v>
      </c>
      <c r="AK138" s="626">
        <f t="shared" si="353"/>
        <v>0</v>
      </c>
      <c r="AL138" s="493">
        <f>I138+AD138</f>
        <v>1322014</v>
      </c>
      <c r="AM138" s="492">
        <f>J138+U138</f>
        <v>980723</v>
      </c>
      <c r="AN138" s="492">
        <f t="shared" si="354"/>
        <v>0</v>
      </c>
      <c r="AO138" s="492">
        <f t="shared" si="355"/>
        <v>331484</v>
      </c>
      <c r="AP138" s="492">
        <f t="shared" si="355"/>
        <v>9807</v>
      </c>
      <c r="AQ138" s="492">
        <v>0</v>
      </c>
      <c r="AR138" s="491">
        <f t="shared" si="356"/>
        <v>2</v>
      </c>
    </row>
    <row r="139" spans="1:44" s="152" customFormat="1" ht="12.75" customHeight="1" x14ac:dyDescent="0.2">
      <c r="A139" s="107">
        <v>30</v>
      </c>
      <c r="B139" s="15">
        <v>4431</v>
      </c>
      <c r="C139" s="15">
        <v>600074820</v>
      </c>
      <c r="D139" s="15">
        <v>70981515</v>
      </c>
      <c r="E139" s="116" t="s">
        <v>198</v>
      </c>
      <c r="F139" s="15"/>
      <c r="G139" s="106"/>
      <c r="H139" s="560"/>
      <c r="I139" s="793">
        <f t="shared" ref="I139:AR139" si="357">SUM(I135:I138)</f>
        <v>8440266</v>
      </c>
      <c r="J139" s="341">
        <f t="shared" si="357"/>
        <v>6261325</v>
      </c>
      <c r="K139" s="341">
        <f t="shared" si="357"/>
        <v>2116328</v>
      </c>
      <c r="L139" s="341">
        <f t="shared" si="357"/>
        <v>62613</v>
      </c>
      <c r="M139" s="341">
        <f t="shared" si="357"/>
        <v>0</v>
      </c>
      <c r="N139" s="36">
        <f t="shared" si="357"/>
        <v>10.5</v>
      </c>
      <c r="O139" s="345">
        <f t="shared" si="357"/>
        <v>-12000</v>
      </c>
      <c r="P139" s="341">
        <f t="shared" si="357"/>
        <v>1300785</v>
      </c>
      <c r="Q139" s="341">
        <f t="shared" si="357"/>
        <v>0</v>
      </c>
      <c r="R139" s="341">
        <f t="shared" si="357"/>
        <v>0</v>
      </c>
      <c r="S139" s="341">
        <f t="shared" si="357"/>
        <v>0</v>
      </c>
      <c r="T139" s="341">
        <f t="shared" si="357"/>
        <v>0</v>
      </c>
      <c r="U139" s="341">
        <f t="shared" si="357"/>
        <v>1288785</v>
      </c>
      <c r="V139" s="341">
        <f t="shared" si="357"/>
        <v>12000</v>
      </c>
      <c r="W139" s="341">
        <f t="shared" si="357"/>
        <v>27800</v>
      </c>
      <c r="X139" s="341">
        <f t="shared" si="357"/>
        <v>0</v>
      </c>
      <c r="Y139" s="341">
        <f t="shared" si="357"/>
        <v>39800</v>
      </c>
      <c r="Z139" s="341">
        <f t="shared" si="357"/>
        <v>1328585</v>
      </c>
      <c r="AA139" s="341">
        <f t="shared" si="357"/>
        <v>449061</v>
      </c>
      <c r="AB139" s="341">
        <f t="shared" si="357"/>
        <v>12888</v>
      </c>
      <c r="AC139" s="341">
        <f t="shared" si="357"/>
        <v>0</v>
      </c>
      <c r="AD139" s="798">
        <f t="shared" si="357"/>
        <v>1790534</v>
      </c>
      <c r="AE139" s="802">
        <f t="shared" si="357"/>
        <v>0</v>
      </c>
      <c r="AF139" s="342">
        <f t="shared" si="357"/>
        <v>3.28</v>
      </c>
      <c r="AG139" s="342">
        <f t="shared" si="357"/>
        <v>0</v>
      </c>
      <c r="AH139" s="342">
        <f t="shared" si="357"/>
        <v>0</v>
      </c>
      <c r="AI139" s="342">
        <f t="shared" si="357"/>
        <v>0</v>
      </c>
      <c r="AJ139" s="342">
        <f t="shared" si="357"/>
        <v>0</v>
      </c>
      <c r="AK139" s="36">
        <f t="shared" si="357"/>
        <v>3.28</v>
      </c>
      <c r="AL139" s="345">
        <f t="shared" si="357"/>
        <v>10230800</v>
      </c>
      <c r="AM139" s="341">
        <f t="shared" si="357"/>
        <v>7550110</v>
      </c>
      <c r="AN139" s="341">
        <f t="shared" si="357"/>
        <v>39800</v>
      </c>
      <c r="AO139" s="341">
        <f t="shared" si="357"/>
        <v>2565389</v>
      </c>
      <c r="AP139" s="341">
        <f t="shared" si="357"/>
        <v>75501</v>
      </c>
      <c r="AQ139" s="341">
        <f t="shared" si="357"/>
        <v>0</v>
      </c>
      <c r="AR139" s="342">
        <f t="shared" si="357"/>
        <v>13.78</v>
      </c>
    </row>
    <row r="140" spans="1:44" s="152" customFormat="1" ht="12.75" customHeight="1" x14ac:dyDescent="0.2">
      <c r="A140" s="140">
        <v>31</v>
      </c>
      <c r="B140" s="141">
        <v>4416</v>
      </c>
      <c r="C140" s="141">
        <v>600074153</v>
      </c>
      <c r="D140" s="141">
        <v>71013105</v>
      </c>
      <c r="E140" s="139" t="s">
        <v>199</v>
      </c>
      <c r="F140" s="141">
        <v>3111</v>
      </c>
      <c r="G140" s="117" t="s">
        <v>277</v>
      </c>
      <c r="H140" s="565" t="s">
        <v>262</v>
      </c>
      <c r="I140" s="586">
        <f>SUM(J140:L140)</f>
        <v>3476436</v>
      </c>
      <c r="J140" s="490">
        <v>2578958</v>
      </c>
      <c r="K140" s="55">
        <f>ROUND(J140*33.8%,0)</f>
        <v>871688</v>
      </c>
      <c r="L140" s="55">
        <f t="shared" ref="L140:L141" si="358">ROUND(J140*1%,0)</f>
        <v>25790</v>
      </c>
      <c r="M140" s="55">
        <v>0</v>
      </c>
      <c r="N140" s="631">
        <v>4</v>
      </c>
      <c r="O140" s="445">
        <f>V140*-1</f>
        <v>0</v>
      </c>
      <c r="P140" s="325">
        <v>0</v>
      </c>
      <c r="Q140" s="325">
        <v>0</v>
      </c>
      <c r="R140" s="325">
        <v>0</v>
      </c>
      <c r="S140" s="325">
        <v>0</v>
      </c>
      <c r="T140" s="325">
        <v>0</v>
      </c>
      <c r="U140" s="492">
        <f t="shared" ref="U140:U141" si="359">O140+P140+Q140+R140+S140+T140</f>
        <v>0</v>
      </c>
      <c r="V140" s="325">
        <v>0</v>
      </c>
      <c r="W140" s="325">
        <v>0</v>
      </c>
      <c r="X140" s="325">
        <v>0</v>
      </c>
      <c r="Y140" s="492">
        <f t="shared" ref="Y140:Y141" si="360">V140+W140+X140</f>
        <v>0</v>
      </c>
      <c r="Z140" s="492">
        <f t="shared" ref="Z140:Z141" si="361">U140+Y140</f>
        <v>0</v>
      </c>
      <c r="AA140" s="494">
        <f t="shared" ref="AA140:AA141" si="362">ROUND((U140+Y140)*33.8%,0)</f>
        <v>0</v>
      </c>
      <c r="AB140" s="494">
        <f t="shared" ref="AB140:AB141" si="363">ROUND(U140*1%,0)</f>
        <v>0</v>
      </c>
      <c r="AC140" s="492">
        <v>0</v>
      </c>
      <c r="AD140" s="789">
        <f t="shared" ref="AD140:AD141" si="364">Z140+AA140+AB140+AC140</f>
        <v>0</v>
      </c>
      <c r="AE140" s="715">
        <v>0</v>
      </c>
      <c r="AF140" s="326">
        <v>0</v>
      </c>
      <c r="AG140" s="326">
        <v>0</v>
      </c>
      <c r="AH140" s="326">
        <v>0</v>
      </c>
      <c r="AI140" s="326">
        <v>0</v>
      </c>
      <c r="AJ140" s="326">
        <v>0</v>
      </c>
      <c r="AK140" s="626">
        <f t="shared" ref="AK140:AK141" si="365">SUM(AE140:AJ140)</f>
        <v>0</v>
      </c>
      <c r="AL140" s="493">
        <f>I140+AD140</f>
        <v>3476436</v>
      </c>
      <c r="AM140" s="492">
        <f>J140+U140</f>
        <v>2578958</v>
      </c>
      <c r="AN140" s="492">
        <f t="shared" ref="AN140:AN141" si="366">Y140</f>
        <v>0</v>
      </c>
      <c r="AO140" s="492">
        <f>K140+AA140</f>
        <v>871688</v>
      </c>
      <c r="AP140" s="492">
        <f>L140+AB140</f>
        <v>25790</v>
      </c>
      <c r="AQ140" s="492">
        <v>0</v>
      </c>
      <c r="AR140" s="491">
        <f t="shared" ref="AR140:AR141" si="367">N140+AK140</f>
        <v>4</v>
      </c>
    </row>
    <row r="141" spans="1:44" s="152" customFormat="1" ht="12.75" customHeight="1" x14ac:dyDescent="0.2">
      <c r="A141" s="140">
        <v>31</v>
      </c>
      <c r="B141" s="141">
        <v>4416</v>
      </c>
      <c r="C141" s="141">
        <v>600074153</v>
      </c>
      <c r="D141" s="141">
        <v>71013105</v>
      </c>
      <c r="E141" s="139" t="s">
        <v>199</v>
      </c>
      <c r="F141" s="141">
        <v>3111</v>
      </c>
      <c r="G141" s="117" t="s">
        <v>278</v>
      </c>
      <c r="H141" s="565" t="s">
        <v>263</v>
      </c>
      <c r="I141" s="586">
        <f>SUM(J141:L141)</f>
        <v>0</v>
      </c>
      <c r="J141" s="490">
        <v>0</v>
      </c>
      <c r="K141" s="55">
        <f t="shared" ref="K141" si="368">ROUND(J141*33.8%,0)</f>
        <v>0</v>
      </c>
      <c r="L141" s="55">
        <f t="shared" si="358"/>
        <v>0</v>
      </c>
      <c r="M141" s="55">
        <v>0</v>
      </c>
      <c r="N141" s="631">
        <v>0</v>
      </c>
      <c r="O141" s="440">
        <f>V141*-1</f>
        <v>0</v>
      </c>
      <c r="P141" s="325">
        <v>694483</v>
      </c>
      <c r="Q141" s="325">
        <v>0</v>
      </c>
      <c r="R141" s="325">
        <v>0</v>
      </c>
      <c r="S141" s="325">
        <v>0</v>
      </c>
      <c r="T141" s="325">
        <v>0</v>
      </c>
      <c r="U141" s="492">
        <f t="shared" si="359"/>
        <v>694483</v>
      </c>
      <c r="V141" s="325">
        <v>0</v>
      </c>
      <c r="W141" s="325">
        <v>0</v>
      </c>
      <c r="X141" s="325">
        <v>0</v>
      </c>
      <c r="Y141" s="492">
        <f t="shared" si="360"/>
        <v>0</v>
      </c>
      <c r="Z141" s="492">
        <f t="shared" si="361"/>
        <v>694483</v>
      </c>
      <c r="AA141" s="494">
        <f t="shared" si="362"/>
        <v>234735</v>
      </c>
      <c r="AB141" s="494">
        <f t="shared" si="363"/>
        <v>6945</v>
      </c>
      <c r="AC141" s="492">
        <v>0</v>
      </c>
      <c r="AD141" s="789">
        <f t="shared" si="364"/>
        <v>936163</v>
      </c>
      <c r="AE141" s="715">
        <v>0</v>
      </c>
      <c r="AF141" s="326">
        <v>1.75</v>
      </c>
      <c r="AG141" s="326">
        <v>0</v>
      </c>
      <c r="AH141" s="326">
        <v>0</v>
      </c>
      <c r="AI141" s="326">
        <v>0</v>
      </c>
      <c r="AJ141" s="326">
        <v>0</v>
      </c>
      <c r="AK141" s="626">
        <f t="shared" si="365"/>
        <v>1.75</v>
      </c>
      <c r="AL141" s="493">
        <f>I141+AD141</f>
        <v>936163</v>
      </c>
      <c r="AM141" s="492">
        <f>J141+U141</f>
        <v>694483</v>
      </c>
      <c r="AN141" s="492">
        <f t="shared" si="366"/>
        <v>0</v>
      </c>
      <c r="AO141" s="492">
        <f>K141+AA141</f>
        <v>234735</v>
      </c>
      <c r="AP141" s="492">
        <f>L141+AB141</f>
        <v>6945</v>
      </c>
      <c r="AQ141" s="492">
        <v>0</v>
      </c>
      <c r="AR141" s="491">
        <f t="shared" si="367"/>
        <v>1.75</v>
      </c>
    </row>
    <row r="142" spans="1:44" s="152" customFormat="1" ht="12.75" customHeight="1" x14ac:dyDescent="0.2">
      <c r="A142" s="107">
        <v>31</v>
      </c>
      <c r="B142" s="15">
        <v>4416</v>
      </c>
      <c r="C142" s="15">
        <v>600074153</v>
      </c>
      <c r="D142" s="15">
        <v>71013105</v>
      </c>
      <c r="E142" s="116" t="s">
        <v>200</v>
      </c>
      <c r="F142" s="15"/>
      <c r="G142" s="106"/>
      <c r="H142" s="560"/>
      <c r="I142" s="794">
        <f t="shared" ref="I142:AR142" si="369">SUM(I140:I141)</f>
        <v>3476436</v>
      </c>
      <c r="J142" s="343">
        <f t="shared" si="369"/>
        <v>2578958</v>
      </c>
      <c r="K142" s="343">
        <f t="shared" si="369"/>
        <v>871688</v>
      </c>
      <c r="L142" s="343">
        <f t="shared" si="369"/>
        <v>25790</v>
      </c>
      <c r="M142" s="343">
        <f t="shared" si="369"/>
        <v>0</v>
      </c>
      <c r="N142" s="35">
        <f t="shared" si="369"/>
        <v>4</v>
      </c>
      <c r="O142" s="346">
        <f t="shared" si="369"/>
        <v>0</v>
      </c>
      <c r="P142" s="343">
        <f t="shared" si="369"/>
        <v>694483</v>
      </c>
      <c r="Q142" s="343">
        <f t="shared" si="369"/>
        <v>0</v>
      </c>
      <c r="R142" s="343">
        <f t="shared" si="369"/>
        <v>0</v>
      </c>
      <c r="S142" s="343">
        <f t="shared" si="369"/>
        <v>0</v>
      </c>
      <c r="T142" s="343">
        <f t="shared" si="369"/>
        <v>0</v>
      </c>
      <c r="U142" s="343">
        <f t="shared" si="369"/>
        <v>694483</v>
      </c>
      <c r="V142" s="343">
        <f t="shared" si="369"/>
        <v>0</v>
      </c>
      <c r="W142" s="343">
        <f t="shared" si="369"/>
        <v>0</v>
      </c>
      <c r="X142" s="343">
        <f t="shared" si="369"/>
        <v>0</v>
      </c>
      <c r="Y142" s="343">
        <f t="shared" si="369"/>
        <v>0</v>
      </c>
      <c r="Z142" s="343">
        <f t="shared" si="369"/>
        <v>694483</v>
      </c>
      <c r="AA142" s="343">
        <f t="shared" si="369"/>
        <v>234735</v>
      </c>
      <c r="AB142" s="343">
        <f t="shared" si="369"/>
        <v>6945</v>
      </c>
      <c r="AC142" s="343">
        <f t="shared" si="369"/>
        <v>0</v>
      </c>
      <c r="AD142" s="799">
        <f t="shared" si="369"/>
        <v>936163</v>
      </c>
      <c r="AE142" s="803">
        <f t="shared" si="369"/>
        <v>0</v>
      </c>
      <c r="AF142" s="344">
        <f t="shared" si="369"/>
        <v>1.75</v>
      </c>
      <c r="AG142" s="344">
        <f t="shared" si="369"/>
        <v>0</v>
      </c>
      <c r="AH142" s="344">
        <f t="shared" si="369"/>
        <v>0</v>
      </c>
      <c r="AI142" s="344">
        <f t="shared" si="369"/>
        <v>0</v>
      </c>
      <c r="AJ142" s="344">
        <f t="shared" si="369"/>
        <v>0</v>
      </c>
      <c r="AK142" s="35">
        <f t="shared" si="369"/>
        <v>1.75</v>
      </c>
      <c r="AL142" s="346">
        <f t="shared" si="369"/>
        <v>4412599</v>
      </c>
      <c r="AM142" s="343">
        <f t="shared" si="369"/>
        <v>3273441</v>
      </c>
      <c r="AN142" s="343">
        <f t="shared" si="369"/>
        <v>0</v>
      </c>
      <c r="AO142" s="343">
        <f t="shared" si="369"/>
        <v>1106423</v>
      </c>
      <c r="AP142" s="343">
        <f t="shared" si="369"/>
        <v>32735</v>
      </c>
      <c r="AQ142" s="343">
        <f t="shared" si="369"/>
        <v>0</v>
      </c>
      <c r="AR142" s="344">
        <f t="shared" si="369"/>
        <v>5.75</v>
      </c>
    </row>
    <row r="143" spans="1:44" s="152" customFormat="1" ht="12.75" customHeight="1" x14ac:dyDescent="0.2">
      <c r="A143" s="140">
        <v>32</v>
      </c>
      <c r="B143" s="141">
        <v>4447</v>
      </c>
      <c r="C143" s="141">
        <v>600074749</v>
      </c>
      <c r="D143" s="141">
        <v>70695962</v>
      </c>
      <c r="E143" s="139" t="s">
        <v>201</v>
      </c>
      <c r="F143" s="141">
        <v>3113</v>
      </c>
      <c r="G143" s="117" t="s">
        <v>280</v>
      </c>
      <c r="H143" s="565" t="s">
        <v>262</v>
      </c>
      <c r="I143" s="586">
        <f>SUM(J143:L143)</f>
        <v>10821096</v>
      </c>
      <c r="J143" s="490">
        <v>8027519</v>
      </c>
      <c r="K143" s="55">
        <f>ROUND(J143*33.8%,0)+1</f>
        <v>2713302</v>
      </c>
      <c r="L143" s="55">
        <f t="shared" ref="L143:L145" si="370">ROUND(J143*1%,0)</f>
        <v>80275</v>
      </c>
      <c r="M143" s="55">
        <v>0</v>
      </c>
      <c r="N143" s="631">
        <v>11.36</v>
      </c>
      <c r="O143" s="445">
        <f>V143*-1</f>
        <v>0</v>
      </c>
      <c r="P143" s="325">
        <v>0</v>
      </c>
      <c r="Q143" s="325">
        <v>0</v>
      </c>
      <c r="R143" s="325">
        <v>0</v>
      </c>
      <c r="S143" s="325">
        <v>0</v>
      </c>
      <c r="T143" s="325">
        <v>0</v>
      </c>
      <c r="U143" s="492">
        <f t="shared" ref="U143:U145" si="371">O143+P143+Q143+R143+S143+T143</f>
        <v>0</v>
      </c>
      <c r="V143" s="325">
        <v>0</v>
      </c>
      <c r="W143" s="325">
        <v>0</v>
      </c>
      <c r="X143" s="325">
        <v>0</v>
      </c>
      <c r="Y143" s="492">
        <f t="shared" ref="Y143:Y145" si="372">V143+W143+X143</f>
        <v>0</v>
      </c>
      <c r="Z143" s="492">
        <f t="shared" ref="Z143:Z145" si="373">U143+Y143</f>
        <v>0</v>
      </c>
      <c r="AA143" s="494">
        <f t="shared" ref="AA143:AA145" si="374">ROUND((U143+Y143)*33.8%,0)</f>
        <v>0</v>
      </c>
      <c r="AB143" s="494">
        <f t="shared" ref="AB143:AB145" si="375">ROUND(U143*1%,0)</f>
        <v>0</v>
      </c>
      <c r="AC143" s="492">
        <v>0</v>
      </c>
      <c r="AD143" s="789">
        <f t="shared" ref="AD143:AD145" si="376">Z143+AA143+AB143+AC143</f>
        <v>0</v>
      </c>
      <c r="AE143" s="715">
        <v>0</v>
      </c>
      <c r="AF143" s="326">
        <v>0</v>
      </c>
      <c r="AG143" s="326">
        <v>0</v>
      </c>
      <c r="AH143" s="326">
        <v>0</v>
      </c>
      <c r="AI143" s="326">
        <v>0</v>
      </c>
      <c r="AJ143" s="326">
        <v>0</v>
      </c>
      <c r="AK143" s="626">
        <f t="shared" ref="AK143:AK145" si="377">SUM(AE143:AJ143)</f>
        <v>0</v>
      </c>
      <c r="AL143" s="493">
        <f>I143+AD143</f>
        <v>10821096</v>
      </c>
      <c r="AM143" s="492">
        <f>J143+U143</f>
        <v>8027519</v>
      </c>
      <c r="AN143" s="492">
        <f t="shared" ref="AN143:AN145" si="378">Y143</f>
        <v>0</v>
      </c>
      <c r="AO143" s="492">
        <f t="shared" ref="AO143:AP145" si="379">K143+AA143</f>
        <v>2713302</v>
      </c>
      <c r="AP143" s="492">
        <f t="shared" si="379"/>
        <v>80275</v>
      </c>
      <c r="AQ143" s="492">
        <v>0</v>
      </c>
      <c r="AR143" s="491">
        <f t="shared" ref="AR143:AR145" si="380">N143+AK143</f>
        <v>11.36</v>
      </c>
    </row>
    <row r="144" spans="1:44" s="152" customFormat="1" ht="12.75" customHeight="1" x14ac:dyDescent="0.2">
      <c r="A144" s="140">
        <v>32</v>
      </c>
      <c r="B144" s="141">
        <v>4447</v>
      </c>
      <c r="C144" s="141">
        <v>600074749</v>
      </c>
      <c r="D144" s="141">
        <v>70695962</v>
      </c>
      <c r="E144" s="139" t="s">
        <v>201</v>
      </c>
      <c r="F144" s="141">
        <v>3113</v>
      </c>
      <c r="G144" s="117" t="s">
        <v>278</v>
      </c>
      <c r="H144" s="565" t="s">
        <v>263</v>
      </c>
      <c r="I144" s="586">
        <f>SUM(J144:L144)</f>
        <v>0</v>
      </c>
      <c r="J144" s="490">
        <v>0</v>
      </c>
      <c r="K144" s="55">
        <f t="shared" ref="K144:K145" si="381">ROUND(J144*33.8%,0)</f>
        <v>0</v>
      </c>
      <c r="L144" s="55">
        <f t="shared" si="370"/>
        <v>0</v>
      </c>
      <c r="M144" s="55">
        <v>0</v>
      </c>
      <c r="N144" s="631">
        <v>0</v>
      </c>
      <c r="O144" s="440">
        <f>V144*-1</f>
        <v>0</v>
      </c>
      <c r="P144" s="325">
        <v>1464625</v>
      </c>
      <c r="Q144" s="325">
        <v>0</v>
      </c>
      <c r="R144" s="325">
        <v>0</v>
      </c>
      <c r="S144" s="325">
        <v>0</v>
      </c>
      <c r="T144" s="325">
        <v>0</v>
      </c>
      <c r="U144" s="492">
        <f t="shared" si="371"/>
        <v>1464625</v>
      </c>
      <c r="V144" s="325">
        <v>0</v>
      </c>
      <c r="W144" s="325">
        <v>0</v>
      </c>
      <c r="X144" s="325">
        <v>0</v>
      </c>
      <c r="Y144" s="492">
        <f t="shared" si="372"/>
        <v>0</v>
      </c>
      <c r="Z144" s="492">
        <f t="shared" si="373"/>
        <v>1464625</v>
      </c>
      <c r="AA144" s="494">
        <f t="shared" si="374"/>
        <v>495043</v>
      </c>
      <c r="AB144" s="494">
        <f t="shared" si="375"/>
        <v>14646</v>
      </c>
      <c r="AC144" s="492">
        <v>0</v>
      </c>
      <c r="AD144" s="789">
        <f t="shared" si="376"/>
        <v>1974314</v>
      </c>
      <c r="AE144" s="715">
        <v>0</v>
      </c>
      <c r="AF144" s="326">
        <v>3.92</v>
      </c>
      <c r="AG144" s="326">
        <v>0</v>
      </c>
      <c r="AH144" s="326">
        <v>0</v>
      </c>
      <c r="AI144" s="326">
        <v>0</v>
      </c>
      <c r="AJ144" s="326">
        <v>0</v>
      </c>
      <c r="AK144" s="626">
        <f t="shared" si="377"/>
        <v>3.92</v>
      </c>
      <c r="AL144" s="493">
        <f>I144+AD144</f>
        <v>1974314</v>
      </c>
      <c r="AM144" s="492">
        <f>J144+U144</f>
        <v>1464625</v>
      </c>
      <c r="AN144" s="492">
        <f t="shared" si="378"/>
        <v>0</v>
      </c>
      <c r="AO144" s="492">
        <f t="shared" si="379"/>
        <v>495043</v>
      </c>
      <c r="AP144" s="492">
        <f t="shared" si="379"/>
        <v>14646</v>
      </c>
      <c r="AQ144" s="492">
        <v>0</v>
      </c>
      <c r="AR144" s="491">
        <f t="shared" si="380"/>
        <v>3.92</v>
      </c>
    </row>
    <row r="145" spans="1:44" s="152" customFormat="1" ht="12.75" customHeight="1" x14ac:dyDescent="0.2">
      <c r="A145" s="140">
        <v>32</v>
      </c>
      <c r="B145" s="141">
        <v>4447</v>
      </c>
      <c r="C145" s="141">
        <v>600074749</v>
      </c>
      <c r="D145" s="141">
        <v>70695962</v>
      </c>
      <c r="E145" s="139" t="s">
        <v>780</v>
      </c>
      <c r="F145" s="141">
        <v>3143</v>
      </c>
      <c r="G145" s="117" t="s">
        <v>795</v>
      </c>
      <c r="H145" s="157" t="s">
        <v>262</v>
      </c>
      <c r="I145" s="586">
        <f>SUM(J145:L145)</f>
        <v>1224492</v>
      </c>
      <c r="J145" s="490">
        <v>908377</v>
      </c>
      <c r="K145" s="55">
        <f t="shared" si="381"/>
        <v>307031</v>
      </c>
      <c r="L145" s="55">
        <f t="shared" si="370"/>
        <v>9084</v>
      </c>
      <c r="M145" s="55">
        <v>0</v>
      </c>
      <c r="N145" s="631">
        <v>1.83</v>
      </c>
      <c r="O145" s="440">
        <f>V145*-1</f>
        <v>0</v>
      </c>
      <c r="P145" s="325">
        <v>0</v>
      </c>
      <c r="Q145" s="325">
        <v>0</v>
      </c>
      <c r="R145" s="325">
        <v>0</v>
      </c>
      <c r="S145" s="325">
        <v>0</v>
      </c>
      <c r="T145" s="325">
        <v>0</v>
      </c>
      <c r="U145" s="492">
        <f t="shared" si="371"/>
        <v>0</v>
      </c>
      <c r="V145" s="325">
        <v>0</v>
      </c>
      <c r="W145" s="325">
        <v>0</v>
      </c>
      <c r="X145" s="325">
        <v>0</v>
      </c>
      <c r="Y145" s="492">
        <f t="shared" si="372"/>
        <v>0</v>
      </c>
      <c r="Z145" s="492">
        <f t="shared" si="373"/>
        <v>0</v>
      </c>
      <c r="AA145" s="494">
        <f t="shared" si="374"/>
        <v>0</v>
      </c>
      <c r="AB145" s="494">
        <f t="shared" si="375"/>
        <v>0</v>
      </c>
      <c r="AC145" s="492">
        <v>0</v>
      </c>
      <c r="AD145" s="789">
        <f t="shared" si="376"/>
        <v>0</v>
      </c>
      <c r="AE145" s="715">
        <v>0</v>
      </c>
      <c r="AF145" s="326">
        <v>0</v>
      </c>
      <c r="AG145" s="326">
        <v>0</v>
      </c>
      <c r="AH145" s="326">
        <v>0</v>
      </c>
      <c r="AI145" s="326">
        <v>0</v>
      </c>
      <c r="AJ145" s="326">
        <v>0</v>
      </c>
      <c r="AK145" s="626">
        <f t="shared" si="377"/>
        <v>0</v>
      </c>
      <c r="AL145" s="493">
        <f>I145+AD145</f>
        <v>1224492</v>
      </c>
      <c r="AM145" s="492">
        <f>J145+U145</f>
        <v>908377</v>
      </c>
      <c r="AN145" s="492">
        <f t="shared" si="378"/>
        <v>0</v>
      </c>
      <c r="AO145" s="492">
        <f t="shared" si="379"/>
        <v>307031</v>
      </c>
      <c r="AP145" s="492">
        <f t="shared" si="379"/>
        <v>9084</v>
      </c>
      <c r="AQ145" s="492">
        <v>0</v>
      </c>
      <c r="AR145" s="491">
        <f t="shared" si="380"/>
        <v>1.83</v>
      </c>
    </row>
    <row r="146" spans="1:44" s="152" customFormat="1" ht="12.75" customHeight="1" x14ac:dyDescent="0.2">
      <c r="A146" s="107">
        <v>32</v>
      </c>
      <c r="B146" s="15">
        <v>4447</v>
      </c>
      <c r="C146" s="15">
        <v>600074749</v>
      </c>
      <c r="D146" s="15">
        <v>70695962</v>
      </c>
      <c r="E146" s="116" t="s">
        <v>202</v>
      </c>
      <c r="F146" s="15"/>
      <c r="G146" s="106"/>
      <c r="H146" s="560"/>
      <c r="I146" s="794">
        <f t="shared" ref="I146:AR146" si="382">SUM(I143:I145)</f>
        <v>12045588</v>
      </c>
      <c r="J146" s="343">
        <f t="shared" si="382"/>
        <v>8935896</v>
      </c>
      <c r="K146" s="343">
        <f t="shared" si="382"/>
        <v>3020333</v>
      </c>
      <c r="L146" s="343">
        <f t="shared" si="382"/>
        <v>89359</v>
      </c>
      <c r="M146" s="343">
        <f t="shared" si="382"/>
        <v>0</v>
      </c>
      <c r="N146" s="35">
        <f t="shared" si="382"/>
        <v>13.19</v>
      </c>
      <c r="O146" s="346">
        <f t="shared" si="382"/>
        <v>0</v>
      </c>
      <c r="P146" s="343">
        <f t="shared" si="382"/>
        <v>1464625</v>
      </c>
      <c r="Q146" s="343">
        <f t="shared" si="382"/>
        <v>0</v>
      </c>
      <c r="R146" s="343">
        <f t="shared" si="382"/>
        <v>0</v>
      </c>
      <c r="S146" s="343">
        <f t="shared" si="382"/>
        <v>0</v>
      </c>
      <c r="T146" s="343">
        <f t="shared" si="382"/>
        <v>0</v>
      </c>
      <c r="U146" s="343">
        <f t="shared" si="382"/>
        <v>1464625</v>
      </c>
      <c r="V146" s="343">
        <f t="shared" si="382"/>
        <v>0</v>
      </c>
      <c r="W146" s="343">
        <f t="shared" si="382"/>
        <v>0</v>
      </c>
      <c r="X146" s="343">
        <f t="shared" si="382"/>
        <v>0</v>
      </c>
      <c r="Y146" s="343">
        <f t="shared" si="382"/>
        <v>0</v>
      </c>
      <c r="Z146" s="343">
        <f t="shared" si="382"/>
        <v>1464625</v>
      </c>
      <c r="AA146" s="343">
        <f t="shared" si="382"/>
        <v>495043</v>
      </c>
      <c r="AB146" s="343">
        <f t="shared" si="382"/>
        <v>14646</v>
      </c>
      <c r="AC146" s="343">
        <f t="shared" si="382"/>
        <v>0</v>
      </c>
      <c r="AD146" s="799">
        <f t="shared" si="382"/>
        <v>1974314</v>
      </c>
      <c r="AE146" s="803">
        <f t="shared" si="382"/>
        <v>0</v>
      </c>
      <c r="AF146" s="344">
        <f t="shared" si="382"/>
        <v>3.92</v>
      </c>
      <c r="AG146" s="344">
        <f t="shared" si="382"/>
        <v>0</v>
      </c>
      <c r="AH146" s="344">
        <f t="shared" si="382"/>
        <v>0</v>
      </c>
      <c r="AI146" s="344">
        <f t="shared" si="382"/>
        <v>0</v>
      </c>
      <c r="AJ146" s="344">
        <f t="shared" si="382"/>
        <v>0</v>
      </c>
      <c r="AK146" s="35">
        <f t="shared" si="382"/>
        <v>3.92</v>
      </c>
      <c r="AL146" s="346">
        <f t="shared" si="382"/>
        <v>14019902</v>
      </c>
      <c r="AM146" s="343">
        <f t="shared" si="382"/>
        <v>10400521</v>
      </c>
      <c r="AN146" s="343">
        <f t="shared" si="382"/>
        <v>0</v>
      </c>
      <c r="AO146" s="343">
        <f t="shared" si="382"/>
        <v>3515376</v>
      </c>
      <c r="AP146" s="343">
        <f t="shared" si="382"/>
        <v>104005</v>
      </c>
      <c r="AQ146" s="343">
        <f t="shared" si="382"/>
        <v>0</v>
      </c>
      <c r="AR146" s="344">
        <f t="shared" si="382"/>
        <v>17.11</v>
      </c>
    </row>
    <row r="147" spans="1:44" s="152" customFormat="1" ht="12.75" customHeight="1" x14ac:dyDescent="0.2">
      <c r="A147" s="140">
        <v>33</v>
      </c>
      <c r="B147" s="141">
        <v>4449</v>
      </c>
      <c r="C147" s="141">
        <v>650037090</v>
      </c>
      <c r="D147" s="141">
        <v>72744171</v>
      </c>
      <c r="E147" s="139" t="s">
        <v>203</v>
      </c>
      <c r="F147" s="141">
        <v>3111</v>
      </c>
      <c r="G147" s="117" t="s">
        <v>277</v>
      </c>
      <c r="H147" s="565" t="s">
        <v>262</v>
      </c>
      <c r="I147" s="586">
        <f>SUM(J147:L147)</f>
        <v>3011974</v>
      </c>
      <c r="J147" s="490">
        <v>2234402</v>
      </c>
      <c r="K147" s="55">
        <f t="shared" ref="K147:K150" si="383">ROUND(J147*33.8%,0)</f>
        <v>755228</v>
      </c>
      <c r="L147" s="55">
        <f t="shared" ref="L147:L150" si="384">ROUND(J147*1%,0)</f>
        <v>22344</v>
      </c>
      <c r="M147" s="55">
        <v>0</v>
      </c>
      <c r="N147" s="631">
        <v>4</v>
      </c>
      <c r="O147" s="445">
        <f t="shared" ref="O147:O150" si="385">V147*-1</f>
        <v>0</v>
      </c>
      <c r="P147" s="325">
        <v>0</v>
      </c>
      <c r="Q147" s="325">
        <v>0</v>
      </c>
      <c r="R147" s="325">
        <v>0</v>
      </c>
      <c r="S147" s="325">
        <v>0</v>
      </c>
      <c r="T147" s="325">
        <v>0</v>
      </c>
      <c r="U147" s="492">
        <f t="shared" ref="U147:U150" si="386">O147+P147+Q147+R147+S147+T147</f>
        <v>0</v>
      </c>
      <c r="V147" s="325">
        <v>0</v>
      </c>
      <c r="W147" s="325">
        <v>0</v>
      </c>
      <c r="X147" s="325">
        <v>0</v>
      </c>
      <c r="Y147" s="492">
        <f t="shared" ref="Y147:Y150" si="387">V147+W147+X147</f>
        <v>0</v>
      </c>
      <c r="Z147" s="492">
        <f t="shared" ref="Z147:Z150" si="388">U147+Y147</f>
        <v>0</v>
      </c>
      <c r="AA147" s="494">
        <f t="shared" ref="AA147:AA150" si="389">ROUND((U147+Y147)*33.8%,0)</f>
        <v>0</v>
      </c>
      <c r="AB147" s="494">
        <f t="shared" ref="AB147:AB150" si="390">ROUND(U147*1%,0)</f>
        <v>0</v>
      </c>
      <c r="AC147" s="492">
        <v>0</v>
      </c>
      <c r="AD147" s="789">
        <f t="shared" ref="AD147:AD150" si="391">Z147+AA147+AB147+AC147</f>
        <v>0</v>
      </c>
      <c r="AE147" s="715">
        <v>0</v>
      </c>
      <c r="AF147" s="326">
        <v>0</v>
      </c>
      <c r="AG147" s="326">
        <v>0</v>
      </c>
      <c r="AH147" s="326">
        <v>0</v>
      </c>
      <c r="AI147" s="326">
        <v>0</v>
      </c>
      <c r="AJ147" s="326">
        <v>0</v>
      </c>
      <c r="AK147" s="626">
        <f t="shared" ref="AK147:AK150" si="392">SUM(AE147:AJ147)</f>
        <v>0</v>
      </c>
      <c r="AL147" s="493">
        <f>I147+AD147</f>
        <v>3011974</v>
      </c>
      <c r="AM147" s="492">
        <f>J147+U147</f>
        <v>2234402</v>
      </c>
      <c r="AN147" s="492">
        <f t="shared" ref="AN147:AN150" si="393">Y147</f>
        <v>0</v>
      </c>
      <c r="AO147" s="492">
        <f t="shared" ref="AO147:AP150" si="394">K147+AA147</f>
        <v>755228</v>
      </c>
      <c r="AP147" s="492">
        <f t="shared" si="394"/>
        <v>22344</v>
      </c>
      <c r="AQ147" s="492">
        <v>0</v>
      </c>
      <c r="AR147" s="491">
        <f t="shared" ref="AR147:AR150" si="395">N147+AK147</f>
        <v>4</v>
      </c>
    </row>
    <row r="148" spans="1:44" s="152" customFormat="1" ht="12.75" customHeight="1" x14ac:dyDescent="0.2">
      <c r="A148" s="140">
        <v>33</v>
      </c>
      <c r="B148" s="141">
        <v>4449</v>
      </c>
      <c r="C148" s="141">
        <v>650037090</v>
      </c>
      <c r="D148" s="141">
        <v>72744171</v>
      </c>
      <c r="E148" s="139" t="s">
        <v>203</v>
      </c>
      <c r="F148" s="141">
        <v>3113</v>
      </c>
      <c r="G148" s="117" t="s">
        <v>280</v>
      </c>
      <c r="H148" s="565" t="s">
        <v>262</v>
      </c>
      <c r="I148" s="586">
        <f>SUM(J148:L148)</f>
        <v>11611276</v>
      </c>
      <c r="J148" s="490">
        <v>8613706</v>
      </c>
      <c r="K148" s="55">
        <f t="shared" si="383"/>
        <v>2911433</v>
      </c>
      <c r="L148" s="55">
        <f t="shared" si="384"/>
        <v>86137</v>
      </c>
      <c r="M148" s="55">
        <v>0</v>
      </c>
      <c r="N148" s="631">
        <v>12.14</v>
      </c>
      <c r="O148" s="440">
        <f t="shared" si="385"/>
        <v>0</v>
      </c>
      <c r="P148" s="325">
        <v>0</v>
      </c>
      <c r="Q148" s="325">
        <v>0</v>
      </c>
      <c r="R148" s="325">
        <v>0</v>
      </c>
      <c r="S148" s="325">
        <v>0</v>
      </c>
      <c r="T148" s="325">
        <v>0</v>
      </c>
      <c r="U148" s="492">
        <f t="shared" si="386"/>
        <v>0</v>
      </c>
      <c r="V148" s="325">
        <v>0</v>
      </c>
      <c r="W148" s="325">
        <v>166800</v>
      </c>
      <c r="X148" s="325">
        <v>0</v>
      </c>
      <c r="Y148" s="492">
        <f t="shared" si="387"/>
        <v>166800</v>
      </c>
      <c r="Z148" s="492">
        <f t="shared" si="388"/>
        <v>166800</v>
      </c>
      <c r="AA148" s="494">
        <f t="shared" si="389"/>
        <v>56378</v>
      </c>
      <c r="AB148" s="494">
        <f t="shared" si="390"/>
        <v>0</v>
      </c>
      <c r="AC148" s="492">
        <v>0</v>
      </c>
      <c r="AD148" s="789">
        <f t="shared" si="391"/>
        <v>223178</v>
      </c>
      <c r="AE148" s="715">
        <v>0</v>
      </c>
      <c r="AF148" s="326">
        <v>0</v>
      </c>
      <c r="AG148" s="326">
        <v>0</v>
      </c>
      <c r="AH148" s="326">
        <v>0</v>
      </c>
      <c r="AI148" s="326">
        <v>0</v>
      </c>
      <c r="AJ148" s="326">
        <v>0</v>
      </c>
      <c r="AK148" s="626">
        <f t="shared" si="392"/>
        <v>0</v>
      </c>
      <c r="AL148" s="493">
        <f>I148+AD148</f>
        <v>11834454</v>
      </c>
      <c r="AM148" s="492">
        <f>J148+U148</f>
        <v>8613706</v>
      </c>
      <c r="AN148" s="492">
        <f t="shared" si="393"/>
        <v>166800</v>
      </c>
      <c r="AO148" s="492">
        <f t="shared" si="394"/>
        <v>2967811</v>
      </c>
      <c r="AP148" s="492">
        <f t="shared" si="394"/>
        <v>86137</v>
      </c>
      <c r="AQ148" s="492">
        <v>0</v>
      </c>
      <c r="AR148" s="491">
        <f t="shared" si="395"/>
        <v>12.14</v>
      </c>
    </row>
    <row r="149" spans="1:44" s="152" customFormat="1" ht="12.75" customHeight="1" x14ac:dyDescent="0.2">
      <c r="A149" s="140">
        <v>33</v>
      </c>
      <c r="B149" s="141">
        <v>4449</v>
      </c>
      <c r="C149" s="141">
        <v>650037090</v>
      </c>
      <c r="D149" s="141">
        <v>72744171</v>
      </c>
      <c r="E149" s="139" t="s">
        <v>203</v>
      </c>
      <c r="F149" s="141">
        <v>3113</v>
      </c>
      <c r="G149" s="117" t="s">
        <v>278</v>
      </c>
      <c r="H149" s="565" t="s">
        <v>263</v>
      </c>
      <c r="I149" s="586">
        <f>SUM(J149:L149)</f>
        <v>0</v>
      </c>
      <c r="J149" s="490">
        <v>0</v>
      </c>
      <c r="K149" s="55">
        <f t="shared" si="383"/>
        <v>0</v>
      </c>
      <c r="L149" s="55">
        <f t="shared" si="384"/>
        <v>0</v>
      </c>
      <c r="M149" s="55">
        <v>0</v>
      </c>
      <c r="N149" s="631">
        <v>0</v>
      </c>
      <c r="O149" s="440">
        <f t="shared" si="385"/>
        <v>0</v>
      </c>
      <c r="P149" s="325">
        <f>1940150</f>
        <v>1940150</v>
      </c>
      <c r="Q149" s="325">
        <v>0</v>
      </c>
      <c r="R149" s="325">
        <v>0</v>
      </c>
      <c r="S149" s="325">
        <v>0</v>
      </c>
      <c r="T149" s="325">
        <v>0</v>
      </c>
      <c r="U149" s="492">
        <f t="shared" si="386"/>
        <v>1940150</v>
      </c>
      <c r="V149" s="325">
        <v>0</v>
      </c>
      <c r="W149" s="325">
        <v>0</v>
      </c>
      <c r="X149" s="325">
        <v>0</v>
      </c>
      <c r="Y149" s="492">
        <f t="shared" si="387"/>
        <v>0</v>
      </c>
      <c r="Z149" s="492">
        <f t="shared" si="388"/>
        <v>1940150</v>
      </c>
      <c r="AA149" s="494">
        <f t="shared" si="389"/>
        <v>655771</v>
      </c>
      <c r="AB149" s="494">
        <f t="shared" si="390"/>
        <v>19402</v>
      </c>
      <c r="AC149" s="492">
        <v>0</v>
      </c>
      <c r="AD149" s="789">
        <f t="shared" si="391"/>
        <v>2615323</v>
      </c>
      <c r="AE149" s="715">
        <v>0</v>
      </c>
      <c r="AF149" s="326">
        <f>4.89</f>
        <v>4.8899999999999997</v>
      </c>
      <c r="AG149" s="326">
        <v>0</v>
      </c>
      <c r="AH149" s="326">
        <v>0</v>
      </c>
      <c r="AI149" s="326">
        <v>0</v>
      </c>
      <c r="AJ149" s="326">
        <v>0</v>
      </c>
      <c r="AK149" s="626">
        <f t="shared" si="392"/>
        <v>4.8899999999999997</v>
      </c>
      <c r="AL149" s="493">
        <f>I149+AD149</f>
        <v>2615323</v>
      </c>
      <c r="AM149" s="492">
        <f>J149+U149</f>
        <v>1940150</v>
      </c>
      <c r="AN149" s="492">
        <f t="shared" si="393"/>
        <v>0</v>
      </c>
      <c r="AO149" s="492">
        <f t="shared" si="394"/>
        <v>655771</v>
      </c>
      <c r="AP149" s="492">
        <f t="shared" si="394"/>
        <v>19402</v>
      </c>
      <c r="AQ149" s="492">
        <v>0</v>
      </c>
      <c r="AR149" s="491">
        <f t="shared" si="395"/>
        <v>4.8899999999999997</v>
      </c>
    </row>
    <row r="150" spans="1:44" s="152" customFormat="1" ht="12.75" customHeight="1" x14ac:dyDescent="0.2">
      <c r="A150" s="140">
        <v>33</v>
      </c>
      <c r="B150" s="141">
        <v>4449</v>
      </c>
      <c r="C150" s="141">
        <v>650037090</v>
      </c>
      <c r="D150" s="141">
        <v>72744171</v>
      </c>
      <c r="E150" s="139" t="s">
        <v>203</v>
      </c>
      <c r="F150" s="141">
        <v>3143</v>
      </c>
      <c r="G150" s="117" t="s">
        <v>795</v>
      </c>
      <c r="H150" s="157" t="s">
        <v>262</v>
      </c>
      <c r="I150" s="586">
        <f>SUM(J150:L150)</f>
        <v>1673950</v>
      </c>
      <c r="J150" s="490">
        <v>1241803</v>
      </c>
      <c r="K150" s="55">
        <f t="shared" si="383"/>
        <v>419729</v>
      </c>
      <c r="L150" s="55">
        <f t="shared" si="384"/>
        <v>12418</v>
      </c>
      <c r="M150" s="55">
        <v>0</v>
      </c>
      <c r="N150" s="631">
        <v>2.5</v>
      </c>
      <c r="O150" s="440">
        <f t="shared" si="385"/>
        <v>0</v>
      </c>
      <c r="P150" s="325">
        <v>0</v>
      </c>
      <c r="Q150" s="325">
        <v>0</v>
      </c>
      <c r="R150" s="325">
        <v>0</v>
      </c>
      <c r="S150" s="325">
        <v>0</v>
      </c>
      <c r="T150" s="325">
        <v>0</v>
      </c>
      <c r="U150" s="492">
        <f t="shared" si="386"/>
        <v>0</v>
      </c>
      <c r="V150" s="325">
        <v>0</v>
      </c>
      <c r="W150" s="325">
        <v>0</v>
      </c>
      <c r="X150" s="325">
        <v>0</v>
      </c>
      <c r="Y150" s="492">
        <f t="shared" si="387"/>
        <v>0</v>
      </c>
      <c r="Z150" s="492">
        <f t="shared" si="388"/>
        <v>0</v>
      </c>
      <c r="AA150" s="494">
        <f t="shared" si="389"/>
        <v>0</v>
      </c>
      <c r="AB150" s="494">
        <f t="shared" si="390"/>
        <v>0</v>
      </c>
      <c r="AC150" s="492">
        <v>0</v>
      </c>
      <c r="AD150" s="789">
        <f t="shared" si="391"/>
        <v>0</v>
      </c>
      <c r="AE150" s="715">
        <v>0</v>
      </c>
      <c r="AF150" s="326">
        <v>0</v>
      </c>
      <c r="AG150" s="326">
        <v>0</v>
      </c>
      <c r="AH150" s="326">
        <v>0</v>
      </c>
      <c r="AI150" s="326">
        <v>0</v>
      </c>
      <c r="AJ150" s="326">
        <v>0</v>
      </c>
      <c r="AK150" s="626">
        <f t="shared" si="392"/>
        <v>0</v>
      </c>
      <c r="AL150" s="493">
        <f>I150+AD150</f>
        <v>1673950</v>
      </c>
      <c r="AM150" s="492">
        <f>J150+U150</f>
        <v>1241803</v>
      </c>
      <c r="AN150" s="492">
        <f t="shared" si="393"/>
        <v>0</v>
      </c>
      <c r="AO150" s="492">
        <f t="shared" si="394"/>
        <v>419729</v>
      </c>
      <c r="AP150" s="492">
        <f t="shared" si="394"/>
        <v>12418</v>
      </c>
      <c r="AQ150" s="492">
        <v>0</v>
      </c>
      <c r="AR150" s="491">
        <f t="shared" si="395"/>
        <v>2.5</v>
      </c>
    </row>
    <row r="151" spans="1:44" s="152" customFormat="1" ht="12.75" customHeight="1" x14ac:dyDescent="0.2">
      <c r="A151" s="107">
        <v>33</v>
      </c>
      <c r="B151" s="15">
        <v>4449</v>
      </c>
      <c r="C151" s="15">
        <v>650037090</v>
      </c>
      <c r="D151" s="15">
        <v>72744171</v>
      </c>
      <c r="E151" s="116" t="s">
        <v>204</v>
      </c>
      <c r="F151" s="15"/>
      <c r="G151" s="106"/>
      <c r="H151" s="560"/>
      <c r="I151" s="794">
        <f t="shared" ref="I151:AR151" si="396">SUM(I147:I150)</f>
        <v>16297200</v>
      </c>
      <c r="J151" s="343">
        <f t="shared" si="396"/>
        <v>12089911</v>
      </c>
      <c r="K151" s="343">
        <f t="shared" si="396"/>
        <v>4086390</v>
      </c>
      <c r="L151" s="343">
        <f t="shared" si="396"/>
        <v>120899</v>
      </c>
      <c r="M151" s="343">
        <f t="shared" si="396"/>
        <v>0</v>
      </c>
      <c r="N151" s="35">
        <f t="shared" si="396"/>
        <v>18.64</v>
      </c>
      <c r="O151" s="346">
        <f t="shared" si="396"/>
        <v>0</v>
      </c>
      <c r="P151" s="343">
        <f t="shared" si="396"/>
        <v>1940150</v>
      </c>
      <c r="Q151" s="343">
        <f t="shared" si="396"/>
        <v>0</v>
      </c>
      <c r="R151" s="343">
        <f t="shared" si="396"/>
        <v>0</v>
      </c>
      <c r="S151" s="343">
        <f t="shared" si="396"/>
        <v>0</v>
      </c>
      <c r="T151" s="343">
        <f t="shared" si="396"/>
        <v>0</v>
      </c>
      <c r="U151" s="343">
        <f t="shared" si="396"/>
        <v>1940150</v>
      </c>
      <c r="V151" s="343">
        <f t="shared" si="396"/>
        <v>0</v>
      </c>
      <c r="W151" s="343">
        <f t="shared" si="396"/>
        <v>166800</v>
      </c>
      <c r="X151" s="343">
        <f t="shared" si="396"/>
        <v>0</v>
      </c>
      <c r="Y151" s="343">
        <f t="shared" si="396"/>
        <v>166800</v>
      </c>
      <c r="Z151" s="343">
        <f t="shared" si="396"/>
        <v>2106950</v>
      </c>
      <c r="AA151" s="343">
        <f t="shared" si="396"/>
        <v>712149</v>
      </c>
      <c r="AB151" s="343">
        <f t="shared" si="396"/>
        <v>19402</v>
      </c>
      <c r="AC151" s="343">
        <f t="shared" si="396"/>
        <v>0</v>
      </c>
      <c r="AD151" s="799">
        <f t="shared" si="396"/>
        <v>2838501</v>
      </c>
      <c r="AE151" s="803">
        <f t="shared" si="396"/>
        <v>0</v>
      </c>
      <c r="AF151" s="344">
        <f t="shared" si="396"/>
        <v>4.8899999999999997</v>
      </c>
      <c r="AG151" s="344">
        <f t="shared" si="396"/>
        <v>0</v>
      </c>
      <c r="AH151" s="344">
        <f t="shared" si="396"/>
        <v>0</v>
      </c>
      <c r="AI151" s="344">
        <f t="shared" si="396"/>
        <v>0</v>
      </c>
      <c r="AJ151" s="344">
        <f t="shared" si="396"/>
        <v>0</v>
      </c>
      <c r="AK151" s="35">
        <f t="shared" si="396"/>
        <v>4.8899999999999997</v>
      </c>
      <c r="AL151" s="346">
        <f t="shared" si="396"/>
        <v>19135701</v>
      </c>
      <c r="AM151" s="343">
        <f t="shared" si="396"/>
        <v>14030061</v>
      </c>
      <c r="AN151" s="343">
        <f t="shared" si="396"/>
        <v>166800</v>
      </c>
      <c r="AO151" s="343">
        <f t="shared" si="396"/>
        <v>4798539</v>
      </c>
      <c r="AP151" s="343">
        <f t="shared" si="396"/>
        <v>140301</v>
      </c>
      <c r="AQ151" s="343">
        <f t="shared" si="396"/>
        <v>0</v>
      </c>
      <c r="AR151" s="344">
        <f t="shared" si="396"/>
        <v>23.53</v>
      </c>
    </row>
    <row r="152" spans="1:44" s="152" customFormat="1" ht="12.75" customHeight="1" x14ac:dyDescent="0.2">
      <c r="A152" s="140">
        <v>34</v>
      </c>
      <c r="B152" s="141">
        <v>4401</v>
      </c>
      <c r="C152" s="141">
        <v>600074196</v>
      </c>
      <c r="D152" s="141">
        <v>71011129</v>
      </c>
      <c r="E152" s="139" t="s">
        <v>205</v>
      </c>
      <c r="F152" s="141">
        <v>3111</v>
      </c>
      <c r="G152" s="117" t="s">
        <v>277</v>
      </c>
      <c r="H152" s="565" t="s">
        <v>262</v>
      </c>
      <c r="I152" s="586">
        <f>SUM(J152:L152)</f>
        <v>3149455</v>
      </c>
      <c r="J152" s="490">
        <v>2336391</v>
      </c>
      <c r="K152" s="55">
        <f t="shared" ref="K152:K153" si="397">ROUND(J152*33.8%,0)</f>
        <v>789700</v>
      </c>
      <c r="L152" s="55">
        <f t="shared" ref="L152:L153" si="398">ROUND(J152*1%,0)</f>
        <v>23364</v>
      </c>
      <c r="M152" s="55">
        <v>0</v>
      </c>
      <c r="N152" s="631">
        <v>4</v>
      </c>
      <c r="O152" s="445">
        <f>V152*-1</f>
        <v>0</v>
      </c>
      <c r="P152" s="325">
        <v>0</v>
      </c>
      <c r="Q152" s="325">
        <v>0</v>
      </c>
      <c r="R152" s="325">
        <v>0</v>
      </c>
      <c r="S152" s="325">
        <v>0</v>
      </c>
      <c r="T152" s="325">
        <v>0</v>
      </c>
      <c r="U152" s="492">
        <f t="shared" ref="U152:U153" si="399">O152+P152+Q152+R152+S152+T152</f>
        <v>0</v>
      </c>
      <c r="V152" s="325">
        <v>0</v>
      </c>
      <c r="W152" s="325">
        <v>0</v>
      </c>
      <c r="X152" s="325">
        <v>0</v>
      </c>
      <c r="Y152" s="492">
        <f t="shared" ref="Y152:Y153" si="400">V152+W152+X152</f>
        <v>0</v>
      </c>
      <c r="Z152" s="492">
        <f t="shared" ref="Z152:Z153" si="401">U152+Y152</f>
        <v>0</v>
      </c>
      <c r="AA152" s="494">
        <f t="shared" ref="AA152:AA153" si="402">ROUND((U152+Y152)*33.8%,0)</f>
        <v>0</v>
      </c>
      <c r="AB152" s="494">
        <f t="shared" ref="AB152:AB153" si="403">ROUND(U152*1%,0)</f>
        <v>0</v>
      </c>
      <c r="AC152" s="492">
        <v>0</v>
      </c>
      <c r="AD152" s="789">
        <f t="shared" ref="AD152:AD153" si="404">Z152+AA152+AB152+AC152</f>
        <v>0</v>
      </c>
      <c r="AE152" s="715">
        <v>0</v>
      </c>
      <c r="AF152" s="326">
        <v>0</v>
      </c>
      <c r="AG152" s="326">
        <v>0</v>
      </c>
      <c r="AH152" s="326">
        <v>0</v>
      </c>
      <c r="AI152" s="326">
        <v>0</v>
      </c>
      <c r="AJ152" s="326">
        <v>0</v>
      </c>
      <c r="AK152" s="626">
        <f t="shared" ref="AK152:AK153" si="405">SUM(AE152:AJ152)</f>
        <v>0</v>
      </c>
      <c r="AL152" s="493">
        <f>I152+AD152</f>
        <v>3149455</v>
      </c>
      <c r="AM152" s="492">
        <f>J152+U152</f>
        <v>2336391</v>
      </c>
      <c r="AN152" s="492">
        <f t="shared" ref="AN152:AN153" si="406">Y152</f>
        <v>0</v>
      </c>
      <c r="AO152" s="492">
        <f>K152+AA152</f>
        <v>789700</v>
      </c>
      <c r="AP152" s="492">
        <f>L152+AB152</f>
        <v>23364</v>
      </c>
      <c r="AQ152" s="492">
        <v>0</v>
      </c>
      <c r="AR152" s="491">
        <f t="shared" ref="AR152:AR153" si="407">N152+AK152</f>
        <v>4</v>
      </c>
    </row>
    <row r="153" spans="1:44" s="152" customFormat="1" ht="12.75" customHeight="1" x14ac:dyDescent="0.2">
      <c r="A153" s="140">
        <v>34</v>
      </c>
      <c r="B153" s="141">
        <v>4401</v>
      </c>
      <c r="C153" s="141">
        <v>600074196</v>
      </c>
      <c r="D153" s="141">
        <v>71011129</v>
      </c>
      <c r="E153" s="139" t="s">
        <v>205</v>
      </c>
      <c r="F153" s="141">
        <v>3111</v>
      </c>
      <c r="G153" s="117" t="s">
        <v>278</v>
      </c>
      <c r="H153" s="565" t="s">
        <v>263</v>
      </c>
      <c r="I153" s="586">
        <f>SUM(J153:L153)</f>
        <v>0</v>
      </c>
      <c r="J153" s="490">
        <v>0</v>
      </c>
      <c r="K153" s="55">
        <f t="shared" si="397"/>
        <v>0</v>
      </c>
      <c r="L153" s="55">
        <f t="shared" si="398"/>
        <v>0</v>
      </c>
      <c r="M153" s="55">
        <v>0</v>
      </c>
      <c r="N153" s="631">
        <v>0</v>
      </c>
      <c r="O153" s="440">
        <f>V153*-1</f>
        <v>0</v>
      </c>
      <c r="P153" s="325">
        <v>396847</v>
      </c>
      <c r="Q153" s="325">
        <v>0</v>
      </c>
      <c r="R153" s="325">
        <v>0</v>
      </c>
      <c r="S153" s="325">
        <v>0</v>
      </c>
      <c r="T153" s="325">
        <v>0</v>
      </c>
      <c r="U153" s="492">
        <f t="shared" si="399"/>
        <v>396847</v>
      </c>
      <c r="V153" s="325">
        <v>0</v>
      </c>
      <c r="W153" s="325">
        <v>0</v>
      </c>
      <c r="X153" s="325">
        <v>0</v>
      </c>
      <c r="Y153" s="492">
        <f t="shared" si="400"/>
        <v>0</v>
      </c>
      <c r="Z153" s="492">
        <f t="shared" si="401"/>
        <v>396847</v>
      </c>
      <c r="AA153" s="494">
        <f t="shared" si="402"/>
        <v>134134</v>
      </c>
      <c r="AB153" s="494">
        <f t="shared" si="403"/>
        <v>3968</v>
      </c>
      <c r="AC153" s="492">
        <v>0</v>
      </c>
      <c r="AD153" s="789">
        <f t="shared" si="404"/>
        <v>534949</v>
      </c>
      <c r="AE153" s="715">
        <v>0</v>
      </c>
      <c r="AF153" s="326">
        <v>1</v>
      </c>
      <c r="AG153" s="326">
        <v>0</v>
      </c>
      <c r="AH153" s="326">
        <v>0</v>
      </c>
      <c r="AI153" s="326">
        <v>0</v>
      </c>
      <c r="AJ153" s="326">
        <v>0</v>
      </c>
      <c r="AK153" s="626">
        <f t="shared" si="405"/>
        <v>1</v>
      </c>
      <c r="AL153" s="493">
        <f>I153+AD153</f>
        <v>534949</v>
      </c>
      <c r="AM153" s="492">
        <f>J153+U153</f>
        <v>396847</v>
      </c>
      <c r="AN153" s="492">
        <f t="shared" si="406"/>
        <v>0</v>
      </c>
      <c r="AO153" s="492">
        <f>K153+AA153</f>
        <v>134134</v>
      </c>
      <c r="AP153" s="492">
        <f>L153+AB153</f>
        <v>3968</v>
      </c>
      <c r="AQ153" s="492">
        <v>0</v>
      </c>
      <c r="AR153" s="491">
        <f t="shared" si="407"/>
        <v>1</v>
      </c>
    </row>
    <row r="154" spans="1:44" s="152" customFormat="1" ht="12.75" customHeight="1" x14ac:dyDescent="0.2">
      <c r="A154" s="107">
        <v>34</v>
      </c>
      <c r="B154" s="15">
        <v>4401</v>
      </c>
      <c r="C154" s="15">
        <v>600074196</v>
      </c>
      <c r="D154" s="15">
        <v>71011129</v>
      </c>
      <c r="E154" s="116" t="s">
        <v>206</v>
      </c>
      <c r="F154" s="15"/>
      <c r="G154" s="106"/>
      <c r="H154" s="560"/>
      <c r="I154" s="794">
        <f t="shared" ref="I154:AR154" si="408">SUM(I152:I153)</f>
        <v>3149455</v>
      </c>
      <c r="J154" s="343">
        <f t="shared" si="408"/>
        <v>2336391</v>
      </c>
      <c r="K154" s="343">
        <f t="shared" si="408"/>
        <v>789700</v>
      </c>
      <c r="L154" s="343">
        <f t="shared" si="408"/>
        <v>23364</v>
      </c>
      <c r="M154" s="343">
        <f t="shared" si="408"/>
        <v>0</v>
      </c>
      <c r="N154" s="35">
        <f t="shared" si="408"/>
        <v>4</v>
      </c>
      <c r="O154" s="346">
        <f t="shared" si="408"/>
        <v>0</v>
      </c>
      <c r="P154" s="343">
        <f t="shared" si="408"/>
        <v>396847</v>
      </c>
      <c r="Q154" s="343">
        <f t="shared" si="408"/>
        <v>0</v>
      </c>
      <c r="R154" s="343">
        <f t="shared" si="408"/>
        <v>0</v>
      </c>
      <c r="S154" s="343">
        <f t="shared" si="408"/>
        <v>0</v>
      </c>
      <c r="T154" s="343">
        <f t="shared" si="408"/>
        <v>0</v>
      </c>
      <c r="U154" s="343">
        <f t="shared" si="408"/>
        <v>396847</v>
      </c>
      <c r="V154" s="343">
        <f t="shared" si="408"/>
        <v>0</v>
      </c>
      <c r="W154" s="343">
        <f t="shared" si="408"/>
        <v>0</v>
      </c>
      <c r="X154" s="343">
        <f t="shared" si="408"/>
        <v>0</v>
      </c>
      <c r="Y154" s="343">
        <f t="shared" si="408"/>
        <v>0</v>
      </c>
      <c r="Z154" s="343">
        <f t="shared" si="408"/>
        <v>396847</v>
      </c>
      <c r="AA154" s="343">
        <f t="shared" si="408"/>
        <v>134134</v>
      </c>
      <c r="AB154" s="343">
        <f t="shared" si="408"/>
        <v>3968</v>
      </c>
      <c r="AC154" s="343">
        <f t="shared" si="408"/>
        <v>0</v>
      </c>
      <c r="AD154" s="799">
        <f t="shared" si="408"/>
        <v>534949</v>
      </c>
      <c r="AE154" s="803">
        <f t="shared" si="408"/>
        <v>0</v>
      </c>
      <c r="AF154" s="344">
        <f t="shared" si="408"/>
        <v>1</v>
      </c>
      <c r="AG154" s="344">
        <f t="shared" si="408"/>
        <v>0</v>
      </c>
      <c r="AH154" s="344">
        <f t="shared" si="408"/>
        <v>0</v>
      </c>
      <c r="AI154" s="344">
        <f t="shared" si="408"/>
        <v>0</v>
      </c>
      <c r="AJ154" s="344">
        <f t="shared" si="408"/>
        <v>0</v>
      </c>
      <c r="AK154" s="35">
        <f t="shared" si="408"/>
        <v>1</v>
      </c>
      <c r="AL154" s="346">
        <f t="shared" si="408"/>
        <v>3684404</v>
      </c>
      <c r="AM154" s="343">
        <f t="shared" si="408"/>
        <v>2733238</v>
      </c>
      <c r="AN154" s="343">
        <f t="shared" si="408"/>
        <v>0</v>
      </c>
      <c r="AO154" s="343">
        <f t="shared" si="408"/>
        <v>923834</v>
      </c>
      <c r="AP154" s="343">
        <f t="shared" si="408"/>
        <v>27332</v>
      </c>
      <c r="AQ154" s="343">
        <f t="shared" si="408"/>
        <v>0</v>
      </c>
      <c r="AR154" s="344">
        <f t="shared" si="408"/>
        <v>5</v>
      </c>
    </row>
    <row r="155" spans="1:44" s="152" customFormat="1" ht="12.75" customHeight="1" x14ac:dyDescent="0.2">
      <c r="A155" s="140">
        <v>35</v>
      </c>
      <c r="B155" s="141">
        <v>4453</v>
      </c>
      <c r="C155" s="141">
        <v>600074790</v>
      </c>
      <c r="D155" s="141">
        <v>71011111</v>
      </c>
      <c r="E155" s="139" t="s">
        <v>207</v>
      </c>
      <c r="F155" s="141">
        <v>3113</v>
      </c>
      <c r="G155" s="117" t="s">
        <v>280</v>
      </c>
      <c r="H155" s="565" t="s">
        <v>262</v>
      </c>
      <c r="I155" s="586">
        <f>SUM(J155:L155)</f>
        <v>11116190</v>
      </c>
      <c r="J155" s="490">
        <v>8246432</v>
      </c>
      <c r="K155" s="55">
        <f t="shared" ref="K155:K157" si="409">ROUND(J155*33.8%,0)</f>
        <v>2787294</v>
      </c>
      <c r="L155" s="55">
        <f t="shared" ref="L155:L157" si="410">ROUND(J155*1%,0)</f>
        <v>82464</v>
      </c>
      <c r="M155" s="55">
        <v>0</v>
      </c>
      <c r="N155" s="631">
        <v>11.64</v>
      </c>
      <c r="O155" s="445">
        <f>V155*-1</f>
        <v>-12000</v>
      </c>
      <c r="P155" s="325">
        <v>0</v>
      </c>
      <c r="Q155" s="325">
        <v>33360</v>
      </c>
      <c r="R155" s="325">
        <v>0</v>
      </c>
      <c r="S155" s="325">
        <v>0</v>
      </c>
      <c r="T155" s="325">
        <v>0</v>
      </c>
      <c r="U155" s="492">
        <f t="shared" ref="U155:U157" si="411">O155+P155+Q155+R155+S155+T155</f>
        <v>21360</v>
      </c>
      <c r="V155" s="325">
        <v>12000</v>
      </c>
      <c r="W155" s="325">
        <v>0</v>
      </c>
      <c r="X155" s="325">
        <v>0</v>
      </c>
      <c r="Y155" s="492">
        <f t="shared" ref="Y155:Y157" si="412">V155+W155+X155</f>
        <v>12000</v>
      </c>
      <c r="Z155" s="492">
        <f t="shared" ref="Z155:Z157" si="413">U155+Y155</f>
        <v>33360</v>
      </c>
      <c r="AA155" s="494">
        <f t="shared" ref="AA155:AA157" si="414">ROUND((U155+Y155)*33.8%,0)</f>
        <v>11276</v>
      </c>
      <c r="AB155" s="494">
        <f t="shared" ref="AB155:AB157" si="415">ROUND(U155*1%,0)</f>
        <v>214</v>
      </c>
      <c r="AC155" s="492">
        <v>0</v>
      </c>
      <c r="AD155" s="789">
        <f t="shared" ref="AD155:AD157" si="416">Z155+AA155+AB155+AC155</f>
        <v>44850</v>
      </c>
      <c r="AE155" s="715">
        <v>-0.02</v>
      </c>
      <c r="AF155" s="326">
        <v>0</v>
      </c>
      <c r="AG155" s="326">
        <v>0</v>
      </c>
      <c r="AH155" s="326">
        <v>0.05</v>
      </c>
      <c r="AI155" s="326">
        <v>0</v>
      </c>
      <c r="AJ155" s="326">
        <v>0</v>
      </c>
      <c r="AK155" s="626">
        <f t="shared" ref="AK155:AK157" si="417">SUM(AE155:AJ155)</f>
        <v>3.0000000000000002E-2</v>
      </c>
      <c r="AL155" s="493">
        <f>I155+AD155</f>
        <v>11161040</v>
      </c>
      <c r="AM155" s="492">
        <f>J155+U155</f>
        <v>8267792</v>
      </c>
      <c r="AN155" s="492">
        <f t="shared" ref="AN155:AN157" si="418">Y155</f>
        <v>12000</v>
      </c>
      <c r="AO155" s="492">
        <f t="shared" ref="AO155:AP157" si="419">K155+AA155</f>
        <v>2798570</v>
      </c>
      <c r="AP155" s="492">
        <f t="shared" si="419"/>
        <v>82678</v>
      </c>
      <c r="AQ155" s="492">
        <v>0</v>
      </c>
      <c r="AR155" s="491">
        <f t="shared" ref="AR155:AR157" si="420">N155+AK155</f>
        <v>11.67</v>
      </c>
    </row>
    <row r="156" spans="1:44" s="152" customFormat="1" ht="12.75" customHeight="1" x14ac:dyDescent="0.2">
      <c r="A156" s="140">
        <v>35</v>
      </c>
      <c r="B156" s="141">
        <v>4453</v>
      </c>
      <c r="C156" s="141">
        <v>600074790</v>
      </c>
      <c r="D156" s="141">
        <v>71011111</v>
      </c>
      <c r="E156" s="139" t="s">
        <v>207</v>
      </c>
      <c r="F156" s="141">
        <v>3113</v>
      </c>
      <c r="G156" s="117" t="s">
        <v>278</v>
      </c>
      <c r="H156" s="565" t="s">
        <v>263</v>
      </c>
      <c r="I156" s="586">
        <f>SUM(J156:L156)</f>
        <v>0</v>
      </c>
      <c r="J156" s="490">
        <v>0</v>
      </c>
      <c r="K156" s="55">
        <f t="shared" si="409"/>
        <v>0</v>
      </c>
      <c r="L156" s="55">
        <f t="shared" si="410"/>
        <v>0</v>
      </c>
      <c r="M156" s="55">
        <v>0</v>
      </c>
      <c r="N156" s="631">
        <v>0</v>
      </c>
      <c r="O156" s="440">
        <f>V156*-1</f>
        <v>0</v>
      </c>
      <c r="P156" s="325">
        <v>181889</v>
      </c>
      <c r="Q156" s="325">
        <v>0</v>
      </c>
      <c r="R156" s="325">
        <v>0</v>
      </c>
      <c r="S156" s="325">
        <v>0</v>
      </c>
      <c r="T156" s="325">
        <v>0</v>
      </c>
      <c r="U156" s="492">
        <f t="shared" si="411"/>
        <v>181889</v>
      </c>
      <c r="V156" s="325">
        <v>0</v>
      </c>
      <c r="W156" s="325">
        <v>0</v>
      </c>
      <c r="X156" s="325">
        <v>0</v>
      </c>
      <c r="Y156" s="492">
        <f t="shared" si="412"/>
        <v>0</v>
      </c>
      <c r="Z156" s="492">
        <f t="shared" si="413"/>
        <v>181889</v>
      </c>
      <c r="AA156" s="494">
        <f t="shared" si="414"/>
        <v>61478</v>
      </c>
      <c r="AB156" s="494">
        <f t="shared" si="415"/>
        <v>1819</v>
      </c>
      <c r="AC156" s="492">
        <v>0</v>
      </c>
      <c r="AD156" s="789">
        <f t="shared" si="416"/>
        <v>245186</v>
      </c>
      <c r="AE156" s="715">
        <v>0</v>
      </c>
      <c r="AF156" s="326">
        <v>0.46</v>
      </c>
      <c r="AG156" s="326">
        <v>0</v>
      </c>
      <c r="AH156" s="326">
        <v>0</v>
      </c>
      <c r="AI156" s="326">
        <v>0</v>
      </c>
      <c r="AJ156" s="326">
        <v>0</v>
      </c>
      <c r="AK156" s="626">
        <f t="shared" si="417"/>
        <v>0.46</v>
      </c>
      <c r="AL156" s="493">
        <f>I156+AD156</f>
        <v>245186</v>
      </c>
      <c r="AM156" s="492">
        <f>J156+U156</f>
        <v>181889</v>
      </c>
      <c r="AN156" s="492">
        <f t="shared" si="418"/>
        <v>0</v>
      </c>
      <c r="AO156" s="492">
        <f t="shared" si="419"/>
        <v>61478</v>
      </c>
      <c r="AP156" s="492">
        <f t="shared" si="419"/>
        <v>1819</v>
      </c>
      <c r="AQ156" s="492">
        <v>0</v>
      </c>
      <c r="AR156" s="491">
        <f t="shared" si="420"/>
        <v>0.46</v>
      </c>
    </row>
    <row r="157" spans="1:44" s="152" customFormat="1" ht="12.75" customHeight="1" x14ac:dyDescent="0.2">
      <c r="A157" s="140">
        <v>35</v>
      </c>
      <c r="B157" s="141">
        <v>4453</v>
      </c>
      <c r="C157" s="141">
        <v>600074790</v>
      </c>
      <c r="D157" s="141">
        <v>71011111</v>
      </c>
      <c r="E157" s="135" t="s">
        <v>207</v>
      </c>
      <c r="F157" s="141">
        <v>3143</v>
      </c>
      <c r="G157" s="117" t="s">
        <v>795</v>
      </c>
      <c r="H157" s="157" t="s">
        <v>262</v>
      </c>
      <c r="I157" s="586">
        <f>SUM(J157:L157)</f>
        <v>795130</v>
      </c>
      <c r="J157" s="490">
        <v>589859</v>
      </c>
      <c r="K157" s="55">
        <f t="shared" si="409"/>
        <v>199372</v>
      </c>
      <c r="L157" s="55">
        <f t="shared" si="410"/>
        <v>5899</v>
      </c>
      <c r="M157" s="55">
        <v>0</v>
      </c>
      <c r="N157" s="631">
        <v>1.29</v>
      </c>
      <c r="O157" s="440">
        <f>V157*-1</f>
        <v>0</v>
      </c>
      <c r="P157" s="325">
        <v>0</v>
      </c>
      <c r="Q157" s="325">
        <v>0</v>
      </c>
      <c r="R157" s="325">
        <v>0</v>
      </c>
      <c r="S157" s="325">
        <v>0</v>
      </c>
      <c r="T157" s="325">
        <v>0</v>
      </c>
      <c r="U157" s="492">
        <f t="shared" si="411"/>
        <v>0</v>
      </c>
      <c r="V157" s="325">
        <v>0</v>
      </c>
      <c r="W157" s="325">
        <v>0</v>
      </c>
      <c r="X157" s="325">
        <v>0</v>
      </c>
      <c r="Y157" s="492">
        <f t="shared" si="412"/>
        <v>0</v>
      </c>
      <c r="Z157" s="492">
        <f t="shared" si="413"/>
        <v>0</v>
      </c>
      <c r="AA157" s="494">
        <f t="shared" si="414"/>
        <v>0</v>
      </c>
      <c r="AB157" s="494">
        <f t="shared" si="415"/>
        <v>0</v>
      </c>
      <c r="AC157" s="492">
        <v>0</v>
      </c>
      <c r="AD157" s="789">
        <f t="shared" si="416"/>
        <v>0</v>
      </c>
      <c r="AE157" s="715">
        <v>0</v>
      </c>
      <c r="AF157" s="326">
        <v>0</v>
      </c>
      <c r="AG157" s="326">
        <v>0</v>
      </c>
      <c r="AH157" s="326">
        <v>0</v>
      </c>
      <c r="AI157" s="326">
        <v>0</v>
      </c>
      <c r="AJ157" s="326">
        <v>0</v>
      </c>
      <c r="AK157" s="626">
        <f t="shared" si="417"/>
        <v>0</v>
      </c>
      <c r="AL157" s="493">
        <f>I157+AD157</f>
        <v>795130</v>
      </c>
      <c r="AM157" s="492">
        <f>J157+U157</f>
        <v>589859</v>
      </c>
      <c r="AN157" s="492">
        <f t="shared" si="418"/>
        <v>0</v>
      </c>
      <c r="AO157" s="492">
        <f t="shared" si="419"/>
        <v>199372</v>
      </c>
      <c r="AP157" s="492">
        <f t="shared" si="419"/>
        <v>5899</v>
      </c>
      <c r="AQ157" s="492">
        <v>0</v>
      </c>
      <c r="AR157" s="491">
        <f t="shared" si="420"/>
        <v>1.29</v>
      </c>
    </row>
    <row r="158" spans="1:44" s="152" customFormat="1" ht="12.75" customHeight="1" x14ac:dyDescent="0.2">
      <c r="A158" s="107">
        <v>35</v>
      </c>
      <c r="B158" s="15">
        <v>4453</v>
      </c>
      <c r="C158" s="15">
        <v>600074790</v>
      </c>
      <c r="D158" s="15">
        <v>71011111</v>
      </c>
      <c r="E158" s="116" t="s">
        <v>208</v>
      </c>
      <c r="F158" s="15"/>
      <c r="G158" s="106"/>
      <c r="H158" s="560"/>
      <c r="I158" s="794">
        <f t="shared" ref="I158:AR158" si="421">SUM(I155:I157)</f>
        <v>11911320</v>
      </c>
      <c r="J158" s="343">
        <f t="shared" si="421"/>
        <v>8836291</v>
      </c>
      <c r="K158" s="343">
        <f t="shared" si="421"/>
        <v>2986666</v>
      </c>
      <c r="L158" s="343">
        <f t="shared" si="421"/>
        <v>88363</v>
      </c>
      <c r="M158" s="343">
        <f t="shared" si="421"/>
        <v>0</v>
      </c>
      <c r="N158" s="35">
        <f t="shared" si="421"/>
        <v>12.93</v>
      </c>
      <c r="O158" s="346">
        <f t="shared" si="421"/>
        <v>-12000</v>
      </c>
      <c r="P158" s="343">
        <f t="shared" si="421"/>
        <v>181889</v>
      </c>
      <c r="Q158" s="343">
        <f t="shared" si="421"/>
        <v>33360</v>
      </c>
      <c r="R158" s="343">
        <f t="shared" si="421"/>
        <v>0</v>
      </c>
      <c r="S158" s="343">
        <f t="shared" si="421"/>
        <v>0</v>
      </c>
      <c r="T158" s="343">
        <f t="shared" si="421"/>
        <v>0</v>
      </c>
      <c r="U158" s="343">
        <f t="shared" si="421"/>
        <v>203249</v>
      </c>
      <c r="V158" s="343">
        <f t="shared" si="421"/>
        <v>12000</v>
      </c>
      <c r="W158" s="343">
        <f t="shared" si="421"/>
        <v>0</v>
      </c>
      <c r="X158" s="343">
        <f t="shared" si="421"/>
        <v>0</v>
      </c>
      <c r="Y158" s="343">
        <f t="shared" si="421"/>
        <v>12000</v>
      </c>
      <c r="Z158" s="343">
        <f t="shared" si="421"/>
        <v>215249</v>
      </c>
      <c r="AA158" s="343">
        <f t="shared" si="421"/>
        <v>72754</v>
      </c>
      <c r="AB158" s="343">
        <f t="shared" si="421"/>
        <v>2033</v>
      </c>
      <c r="AC158" s="343">
        <f t="shared" si="421"/>
        <v>0</v>
      </c>
      <c r="AD158" s="799">
        <f t="shared" si="421"/>
        <v>290036</v>
      </c>
      <c r="AE158" s="803">
        <f t="shared" si="421"/>
        <v>-0.02</v>
      </c>
      <c r="AF158" s="344">
        <f t="shared" si="421"/>
        <v>0.46</v>
      </c>
      <c r="AG158" s="344">
        <f t="shared" si="421"/>
        <v>0</v>
      </c>
      <c r="AH158" s="344">
        <f t="shared" si="421"/>
        <v>0.05</v>
      </c>
      <c r="AI158" s="344">
        <f t="shared" si="421"/>
        <v>0</v>
      </c>
      <c r="AJ158" s="344">
        <f t="shared" si="421"/>
        <v>0</v>
      </c>
      <c r="AK158" s="35">
        <f t="shared" si="421"/>
        <v>0.49000000000000005</v>
      </c>
      <c r="AL158" s="346">
        <f t="shared" si="421"/>
        <v>12201356</v>
      </c>
      <c r="AM158" s="343">
        <f t="shared" si="421"/>
        <v>9039540</v>
      </c>
      <c r="AN158" s="343">
        <f t="shared" si="421"/>
        <v>12000</v>
      </c>
      <c r="AO158" s="343">
        <f t="shared" si="421"/>
        <v>3059420</v>
      </c>
      <c r="AP158" s="343">
        <f t="shared" si="421"/>
        <v>90396</v>
      </c>
      <c r="AQ158" s="343">
        <f t="shared" si="421"/>
        <v>0</v>
      </c>
      <c r="AR158" s="344">
        <f t="shared" si="421"/>
        <v>13.420000000000002</v>
      </c>
    </row>
    <row r="159" spans="1:44" s="152" customFormat="1" ht="12.75" customHeight="1" x14ac:dyDescent="0.2">
      <c r="A159" s="140">
        <v>36</v>
      </c>
      <c r="B159" s="141">
        <v>4467</v>
      </c>
      <c r="C159" s="141">
        <v>600074935</v>
      </c>
      <c r="D159" s="141">
        <v>48282545</v>
      </c>
      <c r="E159" s="139" t="s">
        <v>772</v>
      </c>
      <c r="F159" s="141">
        <v>3111</v>
      </c>
      <c r="G159" s="117" t="s">
        <v>277</v>
      </c>
      <c r="H159" s="565" t="s">
        <v>262</v>
      </c>
      <c r="I159" s="586">
        <f t="shared" ref="I159:I165" si="422">SUM(J159:L159)</f>
        <v>16552344</v>
      </c>
      <c r="J159" s="490">
        <v>12279187</v>
      </c>
      <c r="K159" s="55">
        <f t="shared" ref="K159:K165" si="423">ROUND(J159*33.8%,0)</f>
        <v>4150365</v>
      </c>
      <c r="L159" s="55">
        <f t="shared" ref="L159:L165" si="424">ROUND(J159*1%,0)</f>
        <v>122792</v>
      </c>
      <c r="M159" s="55">
        <v>0</v>
      </c>
      <c r="N159" s="631">
        <v>20.23</v>
      </c>
      <c r="O159" s="445">
        <f t="shared" ref="O159:O165" si="425">V159*-1</f>
        <v>0</v>
      </c>
      <c r="P159" s="325">
        <v>0</v>
      </c>
      <c r="Q159" s="325">
        <v>0</v>
      </c>
      <c r="R159" s="325">
        <v>0</v>
      </c>
      <c r="S159" s="325">
        <v>0</v>
      </c>
      <c r="T159" s="325">
        <v>0</v>
      </c>
      <c r="U159" s="492">
        <f t="shared" ref="U159:U165" si="426">O159+P159+Q159+R159+S159+T159</f>
        <v>0</v>
      </c>
      <c r="V159" s="325">
        <v>0</v>
      </c>
      <c r="W159" s="325">
        <v>0</v>
      </c>
      <c r="X159" s="325">
        <v>0</v>
      </c>
      <c r="Y159" s="492">
        <f t="shared" ref="Y159:Y165" si="427">V159+W159+X159</f>
        <v>0</v>
      </c>
      <c r="Z159" s="492">
        <f t="shared" ref="Z159:Z165" si="428">U159+Y159</f>
        <v>0</v>
      </c>
      <c r="AA159" s="494">
        <f t="shared" ref="AA159:AA165" si="429">ROUND((U159+Y159)*33.8%,0)</f>
        <v>0</v>
      </c>
      <c r="AB159" s="494">
        <f t="shared" ref="AB159:AB165" si="430">ROUND(U159*1%,0)</f>
        <v>0</v>
      </c>
      <c r="AC159" s="492">
        <v>0</v>
      </c>
      <c r="AD159" s="789">
        <f t="shared" ref="AD159:AD165" si="431">Z159+AA159+AB159+AC159</f>
        <v>0</v>
      </c>
      <c r="AE159" s="715">
        <v>0</v>
      </c>
      <c r="AF159" s="326">
        <v>0</v>
      </c>
      <c r="AG159" s="326">
        <v>0</v>
      </c>
      <c r="AH159" s="326">
        <v>0</v>
      </c>
      <c r="AI159" s="326">
        <v>0</v>
      </c>
      <c r="AJ159" s="326">
        <v>0</v>
      </c>
      <c r="AK159" s="626">
        <f t="shared" ref="AK159:AK165" si="432">SUM(AE159:AJ159)</f>
        <v>0</v>
      </c>
      <c r="AL159" s="493">
        <f t="shared" ref="AL159:AL165" si="433">I159+AD159</f>
        <v>16552344</v>
      </c>
      <c r="AM159" s="492">
        <f t="shared" ref="AM159:AM165" si="434">J159+U159</f>
        <v>12279187</v>
      </c>
      <c r="AN159" s="492">
        <f t="shared" ref="AN159:AN165" si="435">Y159</f>
        <v>0</v>
      </c>
      <c r="AO159" s="492">
        <f t="shared" ref="AO159:AP165" si="436">K159+AA159</f>
        <v>4150365</v>
      </c>
      <c r="AP159" s="492">
        <f t="shared" si="436"/>
        <v>122792</v>
      </c>
      <c r="AQ159" s="492">
        <v>0</v>
      </c>
      <c r="AR159" s="491">
        <f t="shared" ref="AR159:AR165" si="437">N159+AK159</f>
        <v>20.23</v>
      </c>
    </row>
    <row r="160" spans="1:44" s="152" customFormat="1" ht="12.75" customHeight="1" x14ac:dyDescent="0.2">
      <c r="A160" s="140">
        <v>36</v>
      </c>
      <c r="B160" s="141">
        <v>4467</v>
      </c>
      <c r="C160" s="141">
        <v>600074935</v>
      </c>
      <c r="D160" s="141">
        <v>48282545</v>
      </c>
      <c r="E160" s="139" t="s">
        <v>772</v>
      </c>
      <c r="F160" s="141">
        <v>3113</v>
      </c>
      <c r="G160" s="117" t="s">
        <v>280</v>
      </c>
      <c r="H160" s="565" t="s">
        <v>262</v>
      </c>
      <c r="I160" s="586">
        <f t="shared" si="422"/>
        <v>50225400</v>
      </c>
      <c r="J160" s="490">
        <v>37259200</v>
      </c>
      <c r="K160" s="55">
        <f>ROUND(J160*33.8%,0)-1</f>
        <v>12593609</v>
      </c>
      <c r="L160" s="55">
        <f>ROUND(J160*1%,0)-1</f>
        <v>372591</v>
      </c>
      <c r="M160" s="55">
        <v>0</v>
      </c>
      <c r="N160" s="631">
        <v>52.04</v>
      </c>
      <c r="O160" s="440">
        <f t="shared" si="425"/>
        <v>-69000</v>
      </c>
      <c r="P160" s="325">
        <v>0</v>
      </c>
      <c r="Q160" s="325">
        <v>0</v>
      </c>
      <c r="R160" s="325">
        <v>0</v>
      </c>
      <c r="S160" s="325">
        <v>0</v>
      </c>
      <c r="T160" s="325">
        <v>0</v>
      </c>
      <c r="U160" s="492">
        <f t="shared" si="426"/>
        <v>-69000</v>
      </c>
      <c r="V160" s="325">
        <v>69000</v>
      </c>
      <c r="W160" s="325">
        <v>0</v>
      </c>
      <c r="X160" s="325">
        <v>0</v>
      </c>
      <c r="Y160" s="492">
        <f t="shared" si="427"/>
        <v>69000</v>
      </c>
      <c r="Z160" s="492">
        <f t="shared" si="428"/>
        <v>0</v>
      </c>
      <c r="AA160" s="494">
        <f t="shared" si="429"/>
        <v>0</v>
      </c>
      <c r="AB160" s="494">
        <f t="shared" si="430"/>
        <v>-690</v>
      </c>
      <c r="AC160" s="492">
        <v>0</v>
      </c>
      <c r="AD160" s="789">
        <f t="shared" si="431"/>
        <v>-690</v>
      </c>
      <c r="AE160" s="715">
        <v>-0.11</v>
      </c>
      <c r="AF160" s="326">
        <v>0</v>
      </c>
      <c r="AG160" s="326">
        <v>0</v>
      </c>
      <c r="AH160" s="326">
        <v>0</v>
      </c>
      <c r="AI160" s="326">
        <v>0</v>
      </c>
      <c r="AJ160" s="326">
        <v>0</v>
      </c>
      <c r="AK160" s="626">
        <f t="shared" si="432"/>
        <v>-0.11</v>
      </c>
      <c r="AL160" s="493">
        <f t="shared" si="433"/>
        <v>50224710</v>
      </c>
      <c r="AM160" s="492">
        <f t="shared" si="434"/>
        <v>37190200</v>
      </c>
      <c r="AN160" s="492">
        <f t="shared" si="435"/>
        <v>69000</v>
      </c>
      <c r="AO160" s="492">
        <f t="shared" si="436"/>
        <v>12593609</v>
      </c>
      <c r="AP160" s="492">
        <f t="shared" si="436"/>
        <v>371901</v>
      </c>
      <c r="AQ160" s="492">
        <v>0</v>
      </c>
      <c r="AR160" s="491">
        <f t="shared" si="437"/>
        <v>51.93</v>
      </c>
    </row>
    <row r="161" spans="1:44" s="152" customFormat="1" ht="12.75" customHeight="1" x14ac:dyDescent="0.2">
      <c r="A161" s="140">
        <v>36</v>
      </c>
      <c r="B161" s="141">
        <v>4467</v>
      </c>
      <c r="C161" s="141">
        <v>600074935</v>
      </c>
      <c r="D161" s="141">
        <v>48282545</v>
      </c>
      <c r="E161" s="139" t="s">
        <v>772</v>
      </c>
      <c r="F161" s="141">
        <v>3113</v>
      </c>
      <c r="G161" s="117" t="s">
        <v>799</v>
      </c>
      <c r="H161" s="565" t="s">
        <v>262</v>
      </c>
      <c r="I161" s="586">
        <f t="shared" si="422"/>
        <v>0</v>
      </c>
      <c r="J161" s="490">
        <v>0</v>
      </c>
      <c r="K161" s="55">
        <v>0</v>
      </c>
      <c r="L161" s="55">
        <v>0</v>
      </c>
      <c r="M161" s="55">
        <v>0</v>
      </c>
      <c r="N161" s="631">
        <v>0</v>
      </c>
      <c r="O161" s="440">
        <f t="shared" si="425"/>
        <v>0</v>
      </c>
      <c r="P161" s="325">
        <v>0</v>
      </c>
      <c r="Q161" s="325">
        <v>0</v>
      </c>
      <c r="R161" s="325">
        <v>275418</v>
      </c>
      <c r="S161" s="325">
        <v>0</v>
      </c>
      <c r="T161" s="325">
        <v>0</v>
      </c>
      <c r="U161" s="492">
        <f t="shared" si="426"/>
        <v>275418</v>
      </c>
      <c r="V161" s="325">
        <v>0</v>
      </c>
      <c r="W161" s="325">
        <v>0</v>
      </c>
      <c r="X161" s="325">
        <v>0</v>
      </c>
      <c r="Y161" s="492">
        <f t="shared" si="427"/>
        <v>0</v>
      </c>
      <c r="Z161" s="492">
        <f t="shared" si="428"/>
        <v>275418</v>
      </c>
      <c r="AA161" s="494">
        <f t="shared" si="429"/>
        <v>93091</v>
      </c>
      <c r="AB161" s="494">
        <f t="shared" si="430"/>
        <v>2754</v>
      </c>
      <c r="AC161" s="492">
        <v>0</v>
      </c>
      <c r="AD161" s="789">
        <f t="shared" si="431"/>
        <v>371263</v>
      </c>
      <c r="AE161" s="715">
        <v>0</v>
      </c>
      <c r="AF161" s="326">
        <v>0</v>
      </c>
      <c r="AG161" s="326">
        <v>0.5</v>
      </c>
      <c r="AH161" s="326">
        <v>0</v>
      </c>
      <c r="AI161" s="326">
        <v>0</v>
      </c>
      <c r="AJ161" s="326">
        <v>0</v>
      </c>
      <c r="AK161" s="626">
        <f t="shared" si="432"/>
        <v>0.5</v>
      </c>
      <c r="AL161" s="493">
        <f t="shared" si="433"/>
        <v>371263</v>
      </c>
      <c r="AM161" s="492">
        <f t="shared" si="434"/>
        <v>275418</v>
      </c>
      <c r="AN161" s="492">
        <f t="shared" si="435"/>
        <v>0</v>
      </c>
      <c r="AO161" s="492">
        <f t="shared" si="436"/>
        <v>93091</v>
      </c>
      <c r="AP161" s="492">
        <f t="shared" si="436"/>
        <v>2754</v>
      </c>
      <c r="AQ161" s="492">
        <v>0</v>
      </c>
      <c r="AR161" s="491">
        <f t="shared" si="437"/>
        <v>0.5</v>
      </c>
    </row>
    <row r="162" spans="1:44" s="152" customFormat="1" ht="12.75" customHeight="1" x14ac:dyDescent="0.2">
      <c r="A162" s="140">
        <v>36</v>
      </c>
      <c r="B162" s="141">
        <v>4467</v>
      </c>
      <c r="C162" s="141">
        <v>600074935</v>
      </c>
      <c r="D162" s="141">
        <v>48282545</v>
      </c>
      <c r="E162" s="139" t="s">
        <v>772</v>
      </c>
      <c r="F162" s="141">
        <v>3113</v>
      </c>
      <c r="G162" s="117" t="s">
        <v>279</v>
      </c>
      <c r="H162" s="565" t="s">
        <v>262</v>
      </c>
      <c r="I162" s="586">
        <f t="shared" si="422"/>
        <v>2396157</v>
      </c>
      <c r="J162" s="490">
        <v>1777564</v>
      </c>
      <c r="K162" s="55">
        <f t="shared" si="423"/>
        <v>600817</v>
      </c>
      <c r="L162" s="55">
        <f t="shared" si="424"/>
        <v>17776</v>
      </c>
      <c r="M162" s="55">
        <v>0</v>
      </c>
      <c r="N162" s="631">
        <v>3.92</v>
      </c>
      <c r="O162" s="440">
        <f t="shared" si="425"/>
        <v>0</v>
      </c>
      <c r="P162" s="325">
        <v>0</v>
      </c>
      <c r="Q162" s="325">
        <v>0</v>
      </c>
      <c r="R162" s="325">
        <v>0</v>
      </c>
      <c r="S162" s="325">
        <v>0</v>
      </c>
      <c r="T162" s="325">
        <v>0</v>
      </c>
      <c r="U162" s="492">
        <f t="shared" si="426"/>
        <v>0</v>
      </c>
      <c r="V162" s="325">
        <v>0</v>
      </c>
      <c r="W162" s="325">
        <v>0</v>
      </c>
      <c r="X162" s="325">
        <v>0</v>
      </c>
      <c r="Y162" s="492">
        <f t="shared" si="427"/>
        <v>0</v>
      </c>
      <c r="Z162" s="492">
        <f t="shared" si="428"/>
        <v>0</v>
      </c>
      <c r="AA162" s="494">
        <f t="shared" si="429"/>
        <v>0</v>
      </c>
      <c r="AB162" s="494">
        <f t="shared" si="430"/>
        <v>0</v>
      </c>
      <c r="AC162" s="492">
        <v>0</v>
      </c>
      <c r="AD162" s="789">
        <f t="shared" si="431"/>
        <v>0</v>
      </c>
      <c r="AE162" s="715">
        <v>0</v>
      </c>
      <c r="AF162" s="326">
        <v>0</v>
      </c>
      <c r="AG162" s="326">
        <v>0</v>
      </c>
      <c r="AH162" s="326">
        <v>0</v>
      </c>
      <c r="AI162" s="326">
        <v>0</v>
      </c>
      <c r="AJ162" s="326">
        <v>0</v>
      </c>
      <c r="AK162" s="626">
        <f t="shared" si="432"/>
        <v>0</v>
      </c>
      <c r="AL162" s="493">
        <f t="shared" si="433"/>
        <v>2396157</v>
      </c>
      <c r="AM162" s="492">
        <f t="shared" si="434"/>
        <v>1777564</v>
      </c>
      <c r="AN162" s="492">
        <f t="shared" si="435"/>
        <v>0</v>
      </c>
      <c r="AO162" s="492">
        <f t="shared" si="436"/>
        <v>600817</v>
      </c>
      <c r="AP162" s="492">
        <f t="shared" si="436"/>
        <v>17776</v>
      </c>
      <c r="AQ162" s="492">
        <v>0</v>
      </c>
      <c r="AR162" s="491">
        <f t="shared" si="437"/>
        <v>3.92</v>
      </c>
    </row>
    <row r="163" spans="1:44" s="152" customFormat="1" ht="12.75" customHeight="1" x14ac:dyDescent="0.2">
      <c r="A163" s="140">
        <v>36</v>
      </c>
      <c r="B163" s="141">
        <v>4467</v>
      </c>
      <c r="C163" s="141">
        <v>600074935</v>
      </c>
      <c r="D163" s="141">
        <v>48282545</v>
      </c>
      <c r="E163" s="139" t="s">
        <v>772</v>
      </c>
      <c r="F163" s="141">
        <v>3113</v>
      </c>
      <c r="G163" s="117" t="s">
        <v>278</v>
      </c>
      <c r="H163" s="565" t="s">
        <v>263</v>
      </c>
      <c r="I163" s="586">
        <f t="shared" si="422"/>
        <v>0</v>
      </c>
      <c r="J163" s="490">
        <v>0</v>
      </c>
      <c r="K163" s="55">
        <f t="shared" si="423"/>
        <v>0</v>
      </c>
      <c r="L163" s="55">
        <f t="shared" si="424"/>
        <v>0</v>
      </c>
      <c r="M163" s="55">
        <v>0</v>
      </c>
      <c r="N163" s="631">
        <v>0</v>
      </c>
      <c r="O163" s="440">
        <f t="shared" si="425"/>
        <v>0</v>
      </c>
      <c r="P163" s="325">
        <f>5820444+206172</f>
        <v>6026616</v>
      </c>
      <c r="Q163" s="325">
        <v>0</v>
      </c>
      <c r="R163" s="325">
        <v>0</v>
      </c>
      <c r="S163" s="325">
        <v>0</v>
      </c>
      <c r="T163" s="325">
        <v>0</v>
      </c>
      <c r="U163" s="492">
        <f t="shared" si="426"/>
        <v>6026616</v>
      </c>
      <c r="V163" s="325">
        <v>0</v>
      </c>
      <c r="W163" s="325">
        <v>0</v>
      </c>
      <c r="X163" s="325">
        <v>0</v>
      </c>
      <c r="Y163" s="492">
        <f t="shared" si="427"/>
        <v>0</v>
      </c>
      <c r="Z163" s="492">
        <f t="shared" si="428"/>
        <v>6026616</v>
      </c>
      <c r="AA163" s="494">
        <f t="shared" si="429"/>
        <v>2036996</v>
      </c>
      <c r="AB163" s="494">
        <f t="shared" si="430"/>
        <v>60266</v>
      </c>
      <c r="AC163" s="492">
        <v>0</v>
      </c>
      <c r="AD163" s="789">
        <f t="shared" si="431"/>
        <v>8123878</v>
      </c>
      <c r="AE163" s="715">
        <v>0</v>
      </c>
      <c r="AF163" s="326">
        <f>14.67+0.51</f>
        <v>15.18</v>
      </c>
      <c r="AG163" s="326">
        <v>0</v>
      </c>
      <c r="AH163" s="326">
        <v>0</v>
      </c>
      <c r="AI163" s="326">
        <v>0</v>
      </c>
      <c r="AJ163" s="326">
        <v>0</v>
      </c>
      <c r="AK163" s="626">
        <f t="shared" si="432"/>
        <v>15.18</v>
      </c>
      <c r="AL163" s="493">
        <f t="shared" si="433"/>
        <v>8123878</v>
      </c>
      <c r="AM163" s="492">
        <f t="shared" si="434"/>
        <v>6026616</v>
      </c>
      <c r="AN163" s="492">
        <f t="shared" si="435"/>
        <v>0</v>
      </c>
      <c r="AO163" s="492">
        <f t="shared" si="436"/>
        <v>2036996</v>
      </c>
      <c r="AP163" s="492">
        <f t="shared" si="436"/>
        <v>60266</v>
      </c>
      <c r="AQ163" s="492">
        <v>0</v>
      </c>
      <c r="AR163" s="491">
        <f t="shared" si="437"/>
        <v>15.18</v>
      </c>
    </row>
    <row r="164" spans="1:44" s="152" customFormat="1" ht="12.75" customHeight="1" x14ac:dyDescent="0.2">
      <c r="A164" s="140">
        <v>36</v>
      </c>
      <c r="B164" s="141">
        <v>4467</v>
      </c>
      <c r="C164" s="141">
        <v>600074935</v>
      </c>
      <c r="D164" s="141">
        <v>48282545</v>
      </c>
      <c r="E164" s="139" t="s">
        <v>772</v>
      </c>
      <c r="F164" s="141">
        <v>3143</v>
      </c>
      <c r="G164" s="117" t="s">
        <v>794</v>
      </c>
      <c r="H164" s="157" t="s">
        <v>262</v>
      </c>
      <c r="I164" s="586">
        <f t="shared" si="422"/>
        <v>5014791</v>
      </c>
      <c r="J164" s="490">
        <v>3720171</v>
      </c>
      <c r="K164" s="55">
        <f t="shared" si="423"/>
        <v>1257418</v>
      </c>
      <c r="L164" s="55">
        <f t="shared" si="424"/>
        <v>37202</v>
      </c>
      <c r="M164" s="55">
        <v>0</v>
      </c>
      <c r="N164" s="631">
        <v>6.96</v>
      </c>
      <c r="O164" s="440">
        <f t="shared" si="425"/>
        <v>0</v>
      </c>
      <c r="P164" s="325">
        <v>0</v>
      </c>
      <c r="Q164" s="325">
        <v>0</v>
      </c>
      <c r="R164" s="325">
        <v>0</v>
      </c>
      <c r="S164" s="325">
        <v>0</v>
      </c>
      <c r="T164" s="325">
        <v>0</v>
      </c>
      <c r="U164" s="492">
        <f t="shared" si="426"/>
        <v>0</v>
      </c>
      <c r="V164" s="325">
        <v>0</v>
      </c>
      <c r="W164" s="325">
        <v>0</v>
      </c>
      <c r="X164" s="325">
        <v>0</v>
      </c>
      <c r="Y164" s="492">
        <f t="shared" si="427"/>
        <v>0</v>
      </c>
      <c r="Z164" s="492">
        <f t="shared" si="428"/>
        <v>0</v>
      </c>
      <c r="AA164" s="494">
        <f t="shared" si="429"/>
        <v>0</v>
      </c>
      <c r="AB164" s="494">
        <f t="shared" si="430"/>
        <v>0</v>
      </c>
      <c r="AC164" s="492">
        <v>0</v>
      </c>
      <c r="AD164" s="789">
        <f t="shared" si="431"/>
        <v>0</v>
      </c>
      <c r="AE164" s="715">
        <v>0</v>
      </c>
      <c r="AF164" s="326">
        <v>0</v>
      </c>
      <c r="AG164" s="326">
        <v>0</v>
      </c>
      <c r="AH164" s="326">
        <v>0</v>
      </c>
      <c r="AI164" s="326">
        <v>0</v>
      </c>
      <c r="AJ164" s="326">
        <v>0</v>
      </c>
      <c r="AK164" s="626">
        <f t="shared" si="432"/>
        <v>0</v>
      </c>
      <c r="AL164" s="493">
        <f t="shared" si="433"/>
        <v>5014791</v>
      </c>
      <c r="AM164" s="492">
        <f t="shared" si="434"/>
        <v>3720171</v>
      </c>
      <c r="AN164" s="492">
        <f t="shared" si="435"/>
        <v>0</v>
      </c>
      <c r="AO164" s="492">
        <f t="shared" si="436"/>
        <v>1257418</v>
      </c>
      <c r="AP164" s="492">
        <f t="shared" si="436"/>
        <v>37202</v>
      </c>
      <c r="AQ164" s="492">
        <v>0</v>
      </c>
      <c r="AR164" s="491">
        <f t="shared" si="437"/>
        <v>6.96</v>
      </c>
    </row>
    <row r="165" spans="1:44" s="152" customFormat="1" ht="12.75" customHeight="1" x14ac:dyDescent="0.2">
      <c r="A165" s="140">
        <v>36</v>
      </c>
      <c r="B165" s="141">
        <v>4467</v>
      </c>
      <c r="C165" s="141">
        <v>600074935</v>
      </c>
      <c r="D165" s="141">
        <v>48282545</v>
      </c>
      <c r="E165" s="139" t="s">
        <v>772</v>
      </c>
      <c r="F165" s="141">
        <v>3233</v>
      </c>
      <c r="G165" s="117" t="s">
        <v>283</v>
      </c>
      <c r="H165" s="565" t="s">
        <v>263</v>
      </c>
      <c r="I165" s="586">
        <f t="shared" si="422"/>
        <v>1577196</v>
      </c>
      <c r="J165" s="490">
        <v>1170027</v>
      </c>
      <c r="K165" s="55">
        <f t="shared" si="423"/>
        <v>395469</v>
      </c>
      <c r="L165" s="55">
        <f t="shared" si="424"/>
        <v>11700</v>
      </c>
      <c r="M165" s="55">
        <v>0</v>
      </c>
      <c r="N165" s="631">
        <v>1.98</v>
      </c>
      <c r="O165" s="440">
        <f t="shared" si="425"/>
        <v>-201000</v>
      </c>
      <c r="P165" s="325">
        <v>0</v>
      </c>
      <c r="Q165" s="325">
        <v>0</v>
      </c>
      <c r="R165" s="325">
        <v>0</v>
      </c>
      <c r="S165" s="325">
        <v>0</v>
      </c>
      <c r="T165" s="325">
        <v>0</v>
      </c>
      <c r="U165" s="492">
        <f t="shared" si="426"/>
        <v>-201000</v>
      </c>
      <c r="V165" s="325">
        <v>201000</v>
      </c>
      <c r="W165" s="325">
        <v>0</v>
      </c>
      <c r="X165" s="325">
        <v>0</v>
      </c>
      <c r="Y165" s="492">
        <f t="shared" si="427"/>
        <v>201000</v>
      </c>
      <c r="Z165" s="492">
        <f t="shared" si="428"/>
        <v>0</v>
      </c>
      <c r="AA165" s="494">
        <f t="shared" si="429"/>
        <v>0</v>
      </c>
      <c r="AB165" s="494">
        <f t="shared" si="430"/>
        <v>-2010</v>
      </c>
      <c r="AC165" s="492">
        <v>0</v>
      </c>
      <c r="AD165" s="789">
        <f t="shared" si="431"/>
        <v>-2010</v>
      </c>
      <c r="AE165" s="715">
        <v>-0.42</v>
      </c>
      <c r="AF165" s="326">
        <v>0</v>
      </c>
      <c r="AG165" s="326">
        <v>0</v>
      </c>
      <c r="AH165" s="326">
        <v>0</v>
      </c>
      <c r="AI165" s="326">
        <v>0</v>
      </c>
      <c r="AJ165" s="326">
        <v>0</v>
      </c>
      <c r="AK165" s="626">
        <f t="shared" si="432"/>
        <v>-0.42</v>
      </c>
      <c r="AL165" s="493">
        <f t="shared" si="433"/>
        <v>1575186</v>
      </c>
      <c r="AM165" s="492">
        <f t="shared" si="434"/>
        <v>969027</v>
      </c>
      <c r="AN165" s="492">
        <f t="shared" si="435"/>
        <v>201000</v>
      </c>
      <c r="AO165" s="492">
        <f t="shared" si="436"/>
        <v>395469</v>
      </c>
      <c r="AP165" s="492">
        <f t="shared" si="436"/>
        <v>9690</v>
      </c>
      <c r="AQ165" s="492">
        <v>0</v>
      </c>
      <c r="AR165" s="491">
        <f t="shared" si="437"/>
        <v>1.56</v>
      </c>
    </row>
    <row r="166" spans="1:44" s="152" customFormat="1" ht="12.75" customHeight="1" x14ac:dyDescent="0.2">
      <c r="A166" s="107">
        <v>36</v>
      </c>
      <c r="B166" s="15">
        <v>4467</v>
      </c>
      <c r="C166" s="15">
        <v>600074935</v>
      </c>
      <c r="D166" s="15">
        <v>48282545</v>
      </c>
      <c r="E166" s="116" t="s">
        <v>209</v>
      </c>
      <c r="F166" s="15"/>
      <c r="G166" s="106"/>
      <c r="H166" s="560"/>
      <c r="I166" s="794">
        <f t="shared" ref="I166:AR166" si="438">SUM(I159:I165)</f>
        <v>75765888</v>
      </c>
      <c r="J166" s="343">
        <f t="shared" si="438"/>
        <v>56206149</v>
      </c>
      <c r="K166" s="343">
        <f t="shared" si="438"/>
        <v>18997678</v>
      </c>
      <c r="L166" s="343">
        <f t="shared" si="438"/>
        <v>562061</v>
      </c>
      <c r="M166" s="343">
        <f t="shared" si="438"/>
        <v>0</v>
      </c>
      <c r="N166" s="35">
        <f t="shared" si="438"/>
        <v>85.13</v>
      </c>
      <c r="O166" s="346">
        <f t="shared" si="438"/>
        <v>-270000</v>
      </c>
      <c r="P166" s="343">
        <f t="shared" si="438"/>
        <v>6026616</v>
      </c>
      <c r="Q166" s="343">
        <f t="shared" si="438"/>
        <v>0</v>
      </c>
      <c r="R166" s="343">
        <f t="shared" si="438"/>
        <v>275418</v>
      </c>
      <c r="S166" s="343">
        <f t="shared" si="438"/>
        <v>0</v>
      </c>
      <c r="T166" s="343">
        <f t="shared" si="438"/>
        <v>0</v>
      </c>
      <c r="U166" s="343">
        <f t="shared" si="438"/>
        <v>6032034</v>
      </c>
      <c r="V166" s="343">
        <f t="shared" si="438"/>
        <v>270000</v>
      </c>
      <c r="W166" s="343">
        <f t="shared" si="438"/>
        <v>0</v>
      </c>
      <c r="X166" s="343">
        <f t="shared" si="438"/>
        <v>0</v>
      </c>
      <c r="Y166" s="343">
        <f t="shared" si="438"/>
        <v>270000</v>
      </c>
      <c r="Z166" s="343">
        <f t="shared" si="438"/>
        <v>6302034</v>
      </c>
      <c r="AA166" s="343">
        <f t="shared" si="438"/>
        <v>2130087</v>
      </c>
      <c r="AB166" s="343">
        <f t="shared" si="438"/>
        <v>60320</v>
      </c>
      <c r="AC166" s="343">
        <f t="shared" si="438"/>
        <v>0</v>
      </c>
      <c r="AD166" s="799">
        <f t="shared" si="438"/>
        <v>8492441</v>
      </c>
      <c r="AE166" s="803">
        <f t="shared" si="438"/>
        <v>-0.53</v>
      </c>
      <c r="AF166" s="344">
        <f t="shared" si="438"/>
        <v>15.18</v>
      </c>
      <c r="AG166" s="344">
        <f t="shared" si="438"/>
        <v>0.5</v>
      </c>
      <c r="AH166" s="344">
        <f t="shared" si="438"/>
        <v>0</v>
      </c>
      <c r="AI166" s="344">
        <f t="shared" si="438"/>
        <v>0</v>
      </c>
      <c r="AJ166" s="344">
        <f t="shared" si="438"/>
        <v>0</v>
      </c>
      <c r="AK166" s="35">
        <f t="shared" si="438"/>
        <v>15.15</v>
      </c>
      <c r="AL166" s="346">
        <f t="shared" si="438"/>
        <v>84258329</v>
      </c>
      <c r="AM166" s="343">
        <f t="shared" si="438"/>
        <v>62238183</v>
      </c>
      <c r="AN166" s="343">
        <f t="shared" si="438"/>
        <v>270000</v>
      </c>
      <c r="AO166" s="343">
        <f t="shared" si="438"/>
        <v>21127765</v>
      </c>
      <c r="AP166" s="343">
        <f t="shared" si="438"/>
        <v>622381</v>
      </c>
      <c r="AQ166" s="343">
        <f t="shared" si="438"/>
        <v>0</v>
      </c>
      <c r="AR166" s="344">
        <f t="shared" si="438"/>
        <v>100.27999999999999</v>
      </c>
    </row>
    <row r="167" spans="1:44" s="152" customFormat="1" ht="12.75" customHeight="1" x14ac:dyDescent="0.2">
      <c r="A167" s="140">
        <v>37</v>
      </c>
      <c r="B167" s="141">
        <v>4472</v>
      </c>
      <c r="C167" s="141">
        <v>600075095</v>
      </c>
      <c r="D167" s="141">
        <v>48282561</v>
      </c>
      <c r="E167" s="139" t="s">
        <v>210</v>
      </c>
      <c r="F167" s="141">
        <v>3231</v>
      </c>
      <c r="G167" s="117" t="s">
        <v>281</v>
      </c>
      <c r="H167" s="565" t="s">
        <v>262</v>
      </c>
      <c r="I167" s="586">
        <f>SUM(J167:L167)</f>
        <v>11906368</v>
      </c>
      <c r="J167" s="490">
        <v>8832617</v>
      </c>
      <c r="K167" s="55">
        <f>ROUND(J167*33.8%,0)</f>
        <v>2985425</v>
      </c>
      <c r="L167" s="55">
        <f>ROUND(J167*1%,0)</f>
        <v>88326</v>
      </c>
      <c r="M167" s="55">
        <v>0</v>
      </c>
      <c r="N167" s="631">
        <v>13.25</v>
      </c>
      <c r="O167" s="445">
        <f>V167*-1</f>
        <v>-6000</v>
      </c>
      <c r="P167" s="325">
        <v>0</v>
      </c>
      <c r="Q167" s="325">
        <v>0</v>
      </c>
      <c r="R167" s="325">
        <v>0</v>
      </c>
      <c r="S167" s="325">
        <v>0</v>
      </c>
      <c r="T167" s="325">
        <v>0</v>
      </c>
      <c r="U167" s="492">
        <f>O167+P167+Q167+R167+S167+T167</f>
        <v>-6000</v>
      </c>
      <c r="V167" s="325">
        <v>6000</v>
      </c>
      <c r="W167" s="325">
        <v>0</v>
      </c>
      <c r="X167" s="325">
        <v>0</v>
      </c>
      <c r="Y167" s="492">
        <f>V167+W167+X167</f>
        <v>6000</v>
      </c>
      <c r="Z167" s="492">
        <f>U167+Y167</f>
        <v>0</v>
      </c>
      <c r="AA167" s="494">
        <f>ROUND((U167+Y167)*33.8%,0)</f>
        <v>0</v>
      </c>
      <c r="AB167" s="494">
        <f>ROUND(U167*1%,0)</f>
        <v>-60</v>
      </c>
      <c r="AC167" s="492">
        <v>0</v>
      </c>
      <c r="AD167" s="789">
        <f>Z167+AA167+AB167+AC167</f>
        <v>-60</v>
      </c>
      <c r="AE167" s="715">
        <v>-0.01</v>
      </c>
      <c r="AF167" s="326">
        <v>0</v>
      </c>
      <c r="AG167" s="326">
        <v>0</v>
      </c>
      <c r="AH167" s="326">
        <v>0</v>
      </c>
      <c r="AI167" s="326">
        <v>0</v>
      </c>
      <c r="AJ167" s="326">
        <v>0</v>
      </c>
      <c r="AK167" s="626">
        <f>SUM(AE167:AJ167)</f>
        <v>-0.01</v>
      </c>
      <c r="AL167" s="493">
        <f>I167+AD167</f>
        <v>11906308</v>
      </c>
      <c r="AM167" s="492">
        <f>J167+U167</f>
        <v>8826617</v>
      </c>
      <c r="AN167" s="492">
        <f>Y167</f>
        <v>6000</v>
      </c>
      <c r="AO167" s="492">
        <f>K167+AA167</f>
        <v>2985425</v>
      </c>
      <c r="AP167" s="492">
        <f>L167+AB167</f>
        <v>88266</v>
      </c>
      <c r="AQ167" s="492">
        <v>0</v>
      </c>
      <c r="AR167" s="491">
        <f>N167+AK167</f>
        <v>13.24</v>
      </c>
    </row>
    <row r="168" spans="1:44" s="152" customFormat="1" ht="12.75" customHeight="1" x14ac:dyDescent="0.2">
      <c r="A168" s="107">
        <v>37</v>
      </c>
      <c r="B168" s="15">
        <v>4472</v>
      </c>
      <c r="C168" s="15">
        <v>600075095</v>
      </c>
      <c r="D168" s="15">
        <v>48282561</v>
      </c>
      <c r="E168" s="116" t="s">
        <v>211</v>
      </c>
      <c r="F168" s="15"/>
      <c r="G168" s="106"/>
      <c r="H168" s="560"/>
      <c r="I168" s="794">
        <f t="shared" ref="I168:AR168" si="439">SUM(I167)</f>
        <v>11906368</v>
      </c>
      <c r="J168" s="343">
        <f t="shared" si="439"/>
        <v>8832617</v>
      </c>
      <c r="K168" s="343">
        <f t="shared" si="439"/>
        <v>2985425</v>
      </c>
      <c r="L168" s="343">
        <f t="shared" si="439"/>
        <v>88326</v>
      </c>
      <c r="M168" s="343">
        <f t="shared" si="439"/>
        <v>0</v>
      </c>
      <c r="N168" s="35">
        <f t="shared" si="439"/>
        <v>13.25</v>
      </c>
      <c r="O168" s="346">
        <f t="shared" si="439"/>
        <v>-6000</v>
      </c>
      <c r="P168" s="343">
        <f t="shared" si="439"/>
        <v>0</v>
      </c>
      <c r="Q168" s="343">
        <f t="shared" si="439"/>
        <v>0</v>
      </c>
      <c r="R168" s="343">
        <f t="shared" si="439"/>
        <v>0</v>
      </c>
      <c r="S168" s="343">
        <f t="shared" si="439"/>
        <v>0</v>
      </c>
      <c r="T168" s="343">
        <f t="shared" si="439"/>
        <v>0</v>
      </c>
      <c r="U168" s="343">
        <f t="shared" si="439"/>
        <v>-6000</v>
      </c>
      <c r="V168" s="343">
        <f t="shared" si="439"/>
        <v>6000</v>
      </c>
      <c r="W168" s="343">
        <f t="shared" si="439"/>
        <v>0</v>
      </c>
      <c r="X168" s="343">
        <f t="shared" si="439"/>
        <v>0</v>
      </c>
      <c r="Y168" s="343">
        <f t="shared" si="439"/>
        <v>6000</v>
      </c>
      <c r="Z168" s="343">
        <f t="shared" si="439"/>
        <v>0</v>
      </c>
      <c r="AA168" s="343">
        <f t="shared" si="439"/>
        <v>0</v>
      </c>
      <c r="AB168" s="343">
        <f t="shared" si="439"/>
        <v>-60</v>
      </c>
      <c r="AC168" s="343">
        <f t="shared" si="439"/>
        <v>0</v>
      </c>
      <c r="AD168" s="799">
        <f t="shared" si="439"/>
        <v>-60</v>
      </c>
      <c r="AE168" s="803">
        <f t="shared" si="439"/>
        <v>-0.01</v>
      </c>
      <c r="AF168" s="344">
        <f t="shared" si="439"/>
        <v>0</v>
      </c>
      <c r="AG168" s="344">
        <f t="shared" si="439"/>
        <v>0</v>
      </c>
      <c r="AH168" s="344">
        <f t="shared" si="439"/>
        <v>0</v>
      </c>
      <c r="AI168" s="344">
        <f t="shared" si="439"/>
        <v>0</v>
      </c>
      <c r="AJ168" s="344">
        <f t="shared" si="439"/>
        <v>0</v>
      </c>
      <c r="AK168" s="35">
        <f t="shared" si="439"/>
        <v>-0.01</v>
      </c>
      <c r="AL168" s="346">
        <f t="shared" si="439"/>
        <v>11906308</v>
      </c>
      <c r="AM168" s="343">
        <f t="shared" si="439"/>
        <v>8826617</v>
      </c>
      <c r="AN168" s="343">
        <f t="shared" si="439"/>
        <v>6000</v>
      </c>
      <c r="AO168" s="343">
        <f t="shared" si="439"/>
        <v>2985425</v>
      </c>
      <c r="AP168" s="343">
        <f t="shared" si="439"/>
        <v>88266</v>
      </c>
      <c r="AQ168" s="343">
        <f t="shared" si="439"/>
        <v>0</v>
      </c>
      <c r="AR168" s="344">
        <f t="shared" si="439"/>
        <v>13.24</v>
      </c>
    </row>
    <row r="169" spans="1:44" s="152" customFormat="1" ht="12.75" customHeight="1" x14ac:dyDescent="0.2">
      <c r="A169" s="140">
        <v>38</v>
      </c>
      <c r="B169" s="141">
        <v>4418</v>
      </c>
      <c r="C169" s="141">
        <v>600074048</v>
      </c>
      <c r="D169" s="141">
        <v>72742411</v>
      </c>
      <c r="E169" s="139" t="s">
        <v>212</v>
      </c>
      <c r="F169" s="141">
        <v>3111</v>
      </c>
      <c r="G169" s="117" t="s">
        <v>277</v>
      </c>
      <c r="H169" s="565" t="s">
        <v>262</v>
      </c>
      <c r="I169" s="586">
        <f>SUM(J169:L169)</f>
        <v>1990260</v>
      </c>
      <c r="J169" s="490">
        <v>1476454</v>
      </c>
      <c r="K169" s="55">
        <f t="shared" ref="K169:K170" si="440">ROUND(J169*33.8%,0)</f>
        <v>499041</v>
      </c>
      <c r="L169" s="55">
        <f t="shared" ref="L169:L170" si="441">ROUND(J169*1%,0)</f>
        <v>14765</v>
      </c>
      <c r="M169" s="55">
        <v>0</v>
      </c>
      <c r="N169" s="631">
        <v>2.37</v>
      </c>
      <c r="O169" s="445">
        <f>V169*-1</f>
        <v>-12000</v>
      </c>
      <c r="P169" s="325">
        <v>0</v>
      </c>
      <c r="Q169" s="325">
        <v>0</v>
      </c>
      <c r="R169" s="325">
        <v>0</v>
      </c>
      <c r="S169" s="325">
        <v>0</v>
      </c>
      <c r="T169" s="325">
        <v>0</v>
      </c>
      <c r="U169" s="492">
        <f t="shared" ref="U169:U170" si="442">O169+P169+Q169+R169+S169+T169</f>
        <v>-12000</v>
      </c>
      <c r="V169" s="325">
        <v>12000</v>
      </c>
      <c r="W169" s="325">
        <v>0</v>
      </c>
      <c r="X169" s="325">
        <v>0</v>
      </c>
      <c r="Y169" s="492">
        <f t="shared" ref="Y169:Y170" si="443">V169+W169+X169</f>
        <v>12000</v>
      </c>
      <c r="Z169" s="492">
        <f t="shared" ref="Z169:Z170" si="444">U169+Y169</f>
        <v>0</v>
      </c>
      <c r="AA169" s="494">
        <f t="shared" ref="AA169:AA170" si="445">ROUND((U169+Y169)*33.8%,0)</f>
        <v>0</v>
      </c>
      <c r="AB169" s="494">
        <f t="shared" ref="AB169:AB170" si="446">ROUND(U169*1%,0)</f>
        <v>-120</v>
      </c>
      <c r="AC169" s="492">
        <v>0</v>
      </c>
      <c r="AD169" s="789">
        <f t="shared" ref="AD169:AD170" si="447">Z169+AA169+AB169+AC169</f>
        <v>-120</v>
      </c>
      <c r="AE169" s="715">
        <v>0</v>
      </c>
      <c r="AF169" s="326">
        <v>0</v>
      </c>
      <c r="AG169" s="326">
        <v>0</v>
      </c>
      <c r="AH169" s="326">
        <v>0</v>
      </c>
      <c r="AI169" s="326">
        <v>0</v>
      </c>
      <c r="AJ169" s="326">
        <v>0</v>
      </c>
      <c r="AK169" s="626">
        <f t="shared" ref="AK169:AK170" si="448">SUM(AE169:AJ169)</f>
        <v>0</v>
      </c>
      <c r="AL169" s="493">
        <f>I169+AD169</f>
        <v>1990140</v>
      </c>
      <c r="AM169" s="492">
        <f>J169+U169</f>
        <v>1464454</v>
      </c>
      <c r="AN169" s="492">
        <f t="shared" ref="AN169:AN170" si="449">Y169</f>
        <v>12000</v>
      </c>
      <c r="AO169" s="492">
        <f>K169+AA169</f>
        <v>499041</v>
      </c>
      <c r="AP169" s="492">
        <f>L169+AB169</f>
        <v>14645</v>
      </c>
      <c r="AQ169" s="492">
        <v>0</v>
      </c>
      <c r="AR169" s="491">
        <f t="shared" ref="AR169:AR170" si="450">N169+AK169</f>
        <v>2.37</v>
      </c>
    </row>
    <row r="170" spans="1:44" s="152" customFormat="1" ht="12.75" customHeight="1" x14ac:dyDescent="0.2">
      <c r="A170" s="140">
        <v>38</v>
      </c>
      <c r="B170" s="141">
        <v>4418</v>
      </c>
      <c r="C170" s="141">
        <v>600074048</v>
      </c>
      <c r="D170" s="141">
        <v>72742411</v>
      </c>
      <c r="E170" s="139" t="s">
        <v>212</v>
      </c>
      <c r="F170" s="141">
        <v>3111</v>
      </c>
      <c r="G170" s="117" t="s">
        <v>278</v>
      </c>
      <c r="H170" s="565" t="s">
        <v>263</v>
      </c>
      <c r="I170" s="586">
        <f>SUM(J170:L170)</f>
        <v>0</v>
      </c>
      <c r="J170" s="490">
        <v>0</v>
      </c>
      <c r="K170" s="55">
        <f t="shared" si="440"/>
        <v>0</v>
      </c>
      <c r="L170" s="55">
        <f t="shared" si="441"/>
        <v>0</v>
      </c>
      <c r="M170" s="55">
        <v>0</v>
      </c>
      <c r="N170" s="631">
        <v>0</v>
      </c>
      <c r="O170" s="440">
        <f>V170*-1</f>
        <v>0</v>
      </c>
      <c r="P170" s="325">
        <v>0</v>
      </c>
      <c r="Q170" s="325">
        <v>0</v>
      </c>
      <c r="R170" s="325">
        <v>0</v>
      </c>
      <c r="S170" s="325">
        <v>0</v>
      </c>
      <c r="T170" s="325">
        <v>0</v>
      </c>
      <c r="U170" s="492">
        <f t="shared" si="442"/>
        <v>0</v>
      </c>
      <c r="V170" s="325">
        <v>0</v>
      </c>
      <c r="W170" s="325">
        <v>0</v>
      </c>
      <c r="X170" s="325">
        <v>0</v>
      </c>
      <c r="Y170" s="492">
        <f t="shared" si="443"/>
        <v>0</v>
      </c>
      <c r="Z170" s="492">
        <f t="shared" si="444"/>
        <v>0</v>
      </c>
      <c r="AA170" s="494">
        <f t="shared" si="445"/>
        <v>0</v>
      </c>
      <c r="AB170" s="494">
        <f t="shared" si="446"/>
        <v>0</v>
      </c>
      <c r="AC170" s="492">
        <v>0</v>
      </c>
      <c r="AD170" s="789">
        <f t="shared" si="447"/>
        <v>0</v>
      </c>
      <c r="AE170" s="715">
        <v>0</v>
      </c>
      <c r="AF170" s="326">
        <v>0</v>
      </c>
      <c r="AG170" s="326">
        <v>0</v>
      </c>
      <c r="AH170" s="326">
        <v>0</v>
      </c>
      <c r="AI170" s="326">
        <v>0</v>
      </c>
      <c r="AJ170" s="326">
        <v>0</v>
      </c>
      <c r="AK170" s="626">
        <f t="shared" si="448"/>
        <v>0</v>
      </c>
      <c r="AL170" s="493">
        <f>I170+AD170</f>
        <v>0</v>
      </c>
      <c r="AM170" s="492">
        <f>J170+U170</f>
        <v>0</v>
      </c>
      <c r="AN170" s="492">
        <f t="shared" si="449"/>
        <v>0</v>
      </c>
      <c r="AO170" s="492">
        <f>K170+AA170</f>
        <v>0</v>
      </c>
      <c r="AP170" s="492">
        <f>L170+AB170</f>
        <v>0</v>
      </c>
      <c r="AQ170" s="492">
        <v>0</v>
      </c>
      <c r="AR170" s="491">
        <f t="shared" si="450"/>
        <v>0</v>
      </c>
    </row>
    <row r="171" spans="1:44" s="152" customFormat="1" ht="12.75" customHeight="1" x14ac:dyDescent="0.2">
      <c r="A171" s="107">
        <v>38</v>
      </c>
      <c r="B171" s="15">
        <v>4418</v>
      </c>
      <c r="C171" s="15">
        <v>600074048</v>
      </c>
      <c r="D171" s="15">
        <v>72742411</v>
      </c>
      <c r="E171" s="116" t="s">
        <v>213</v>
      </c>
      <c r="F171" s="15"/>
      <c r="G171" s="106"/>
      <c r="H171" s="560"/>
      <c r="I171" s="794">
        <f t="shared" ref="I171:AR171" si="451">SUM(I169:I170)</f>
        <v>1990260</v>
      </c>
      <c r="J171" s="343">
        <f t="shared" si="451"/>
        <v>1476454</v>
      </c>
      <c r="K171" s="343">
        <f t="shared" si="451"/>
        <v>499041</v>
      </c>
      <c r="L171" s="343">
        <f t="shared" si="451"/>
        <v>14765</v>
      </c>
      <c r="M171" s="343">
        <f t="shared" si="451"/>
        <v>0</v>
      </c>
      <c r="N171" s="35">
        <f t="shared" si="451"/>
        <v>2.37</v>
      </c>
      <c r="O171" s="346">
        <f t="shared" si="451"/>
        <v>-12000</v>
      </c>
      <c r="P171" s="343">
        <f t="shared" si="451"/>
        <v>0</v>
      </c>
      <c r="Q171" s="343">
        <f t="shared" si="451"/>
        <v>0</v>
      </c>
      <c r="R171" s="343">
        <f t="shared" si="451"/>
        <v>0</v>
      </c>
      <c r="S171" s="343">
        <f t="shared" si="451"/>
        <v>0</v>
      </c>
      <c r="T171" s="343">
        <f t="shared" si="451"/>
        <v>0</v>
      </c>
      <c r="U171" s="343">
        <f t="shared" si="451"/>
        <v>-12000</v>
      </c>
      <c r="V171" s="343">
        <f t="shared" si="451"/>
        <v>12000</v>
      </c>
      <c r="W171" s="343">
        <f t="shared" si="451"/>
        <v>0</v>
      </c>
      <c r="X171" s="343">
        <f t="shared" si="451"/>
        <v>0</v>
      </c>
      <c r="Y171" s="343">
        <f t="shared" si="451"/>
        <v>12000</v>
      </c>
      <c r="Z171" s="343">
        <f t="shared" si="451"/>
        <v>0</v>
      </c>
      <c r="AA171" s="343">
        <f t="shared" si="451"/>
        <v>0</v>
      </c>
      <c r="AB171" s="343">
        <f t="shared" si="451"/>
        <v>-120</v>
      </c>
      <c r="AC171" s="343">
        <f t="shared" si="451"/>
        <v>0</v>
      </c>
      <c r="AD171" s="799">
        <f t="shared" si="451"/>
        <v>-120</v>
      </c>
      <c r="AE171" s="803">
        <f t="shared" si="451"/>
        <v>0</v>
      </c>
      <c r="AF171" s="344">
        <f t="shared" si="451"/>
        <v>0</v>
      </c>
      <c r="AG171" s="344">
        <f t="shared" si="451"/>
        <v>0</v>
      </c>
      <c r="AH171" s="344">
        <f t="shared" si="451"/>
        <v>0</v>
      </c>
      <c r="AI171" s="344">
        <f t="shared" si="451"/>
        <v>0</v>
      </c>
      <c r="AJ171" s="344">
        <f t="shared" si="451"/>
        <v>0</v>
      </c>
      <c r="AK171" s="35">
        <f t="shared" si="451"/>
        <v>0</v>
      </c>
      <c r="AL171" s="346">
        <f t="shared" si="451"/>
        <v>1990140</v>
      </c>
      <c r="AM171" s="343">
        <f t="shared" si="451"/>
        <v>1464454</v>
      </c>
      <c r="AN171" s="343">
        <f t="shared" si="451"/>
        <v>12000</v>
      </c>
      <c r="AO171" s="343">
        <f t="shared" si="451"/>
        <v>499041</v>
      </c>
      <c r="AP171" s="343">
        <f t="shared" si="451"/>
        <v>14645</v>
      </c>
      <c r="AQ171" s="343">
        <f t="shared" si="451"/>
        <v>0</v>
      </c>
      <c r="AR171" s="344">
        <f t="shared" si="451"/>
        <v>2.37</v>
      </c>
    </row>
    <row r="172" spans="1:44" s="152" customFormat="1" ht="12.75" customHeight="1" x14ac:dyDescent="0.2">
      <c r="A172" s="140">
        <v>39</v>
      </c>
      <c r="B172" s="141">
        <v>4432</v>
      </c>
      <c r="C172" s="141">
        <v>600074625</v>
      </c>
      <c r="D172" s="141">
        <v>70695903</v>
      </c>
      <c r="E172" s="139" t="s">
        <v>214</v>
      </c>
      <c r="F172" s="141">
        <v>3111</v>
      </c>
      <c r="G172" s="117" t="s">
        <v>277</v>
      </c>
      <c r="H172" s="565" t="s">
        <v>262</v>
      </c>
      <c r="I172" s="586">
        <f>SUM(J172:L172)</f>
        <v>1752617</v>
      </c>
      <c r="J172" s="490">
        <v>1300161</v>
      </c>
      <c r="K172" s="55">
        <f t="shared" ref="K172:K175" si="452">ROUND(J172*33.8%,0)</f>
        <v>439454</v>
      </c>
      <c r="L172" s="55">
        <f t="shared" ref="L172:L175" si="453">ROUND(J172*1%,0)</f>
        <v>13002</v>
      </c>
      <c r="M172" s="55">
        <v>0</v>
      </c>
      <c r="N172" s="631">
        <v>2.16</v>
      </c>
      <c r="O172" s="445">
        <f t="shared" ref="O172:O175" si="454">V172*-1</f>
        <v>0</v>
      </c>
      <c r="P172" s="325">
        <v>0</v>
      </c>
      <c r="Q172" s="325">
        <v>0</v>
      </c>
      <c r="R172" s="325">
        <v>0</v>
      </c>
      <c r="S172" s="325">
        <v>0</v>
      </c>
      <c r="T172" s="325">
        <v>0</v>
      </c>
      <c r="U172" s="492">
        <f t="shared" ref="U172:U175" si="455">O172+P172+Q172+R172+S172+T172</f>
        <v>0</v>
      </c>
      <c r="V172" s="325">
        <v>0</v>
      </c>
      <c r="W172" s="325">
        <v>0</v>
      </c>
      <c r="X172" s="325">
        <v>0</v>
      </c>
      <c r="Y172" s="492">
        <f t="shared" ref="Y172:Y175" si="456">V172+W172+X172</f>
        <v>0</v>
      </c>
      <c r="Z172" s="492">
        <f t="shared" ref="Z172:Z175" si="457">U172+Y172</f>
        <v>0</v>
      </c>
      <c r="AA172" s="494">
        <f t="shared" ref="AA172:AA175" si="458">ROUND((U172+Y172)*33.8%,0)</f>
        <v>0</v>
      </c>
      <c r="AB172" s="494">
        <f t="shared" ref="AB172:AB175" si="459">ROUND(U172*1%,0)</f>
        <v>0</v>
      </c>
      <c r="AC172" s="492">
        <v>0</v>
      </c>
      <c r="AD172" s="789">
        <f t="shared" ref="AD172:AD175" si="460">Z172+AA172+AB172+AC172</f>
        <v>0</v>
      </c>
      <c r="AE172" s="715">
        <v>0</v>
      </c>
      <c r="AF172" s="326">
        <v>0</v>
      </c>
      <c r="AG172" s="326">
        <v>0</v>
      </c>
      <c r="AH172" s="326">
        <v>0</v>
      </c>
      <c r="AI172" s="326">
        <v>0</v>
      </c>
      <c r="AJ172" s="326">
        <v>0</v>
      </c>
      <c r="AK172" s="626">
        <f t="shared" ref="AK172:AK175" si="461">SUM(AE172:AJ172)</f>
        <v>0</v>
      </c>
      <c r="AL172" s="493">
        <f>I172+AD172</f>
        <v>1752617</v>
      </c>
      <c r="AM172" s="492">
        <f>J172+U172</f>
        <v>1300161</v>
      </c>
      <c r="AN172" s="492">
        <f t="shared" ref="AN172:AN175" si="462">Y172</f>
        <v>0</v>
      </c>
      <c r="AO172" s="492">
        <f t="shared" ref="AO172:AP175" si="463">K172+AA172</f>
        <v>439454</v>
      </c>
      <c r="AP172" s="492">
        <f t="shared" si="463"/>
        <v>13002</v>
      </c>
      <c r="AQ172" s="492">
        <v>0</v>
      </c>
      <c r="AR172" s="491">
        <f t="shared" ref="AR172:AR175" si="464">N172+AK172</f>
        <v>2.16</v>
      </c>
    </row>
    <row r="173" spans="1:44" s="152" customFormat="1" ht="12.75" customHeight="1" x14ac:dyDescent="0.2">
      <c r="A173" s="140">
        <v>39</v>
      </c>
      <c r="B173" s="141">
        <v>4432</v>
      </c>
      <c r="C173" s="141">
        <v>600074625</v>
      </c>
      <c r="D173" s="141">
        <v>70695903</v>
      </c>
      <c r="E173" s="139" t="s">
        <v>214</v>
      </c>
      <c r="F173" s="141">
        <v>3117</v>
      </c>
      <c r="G173" s="117" t="s">
        <v>280</v>
      </c>
      <c r="H173" s="565" t="s">
        <v>262</v>
      </c>
      <c r="I173" s="586">
        <f>SUM(J173:L173)</f>
        <v>3054698</v>
      </c>
      <c r="J173" s="490">
        <v>2266097</v>
      </c>
      <c r="K173" s="55">
        <f t="shared" si="452"/>
        <v>765941</v>
      </c>
      <c r="L173" s="55">
        <f>ROUND(J173*1%,0)-1</f>
        <v>22660</v>
      </c>
      <c r="M173" s="55">
        <v>0</v>
      </c>
      <c r="N173" s="631">
        <v>3.27</v>
      </c>
      <c r="O173" s="440">
        <f t="shared" si="454"/>
        <v>0</v>
      </c>
      <c r="P173" s="325">
        <v>0</v>
      </c>
      <c r="Q173" s="325">
        <v>0</v>
      </c>
      <c r="R173" s="325">
        <v>0</v>
      </c>
      <c r="S173" s="325">
        <v>0</v>
      </c>
      <c r="T173" s="325">
        <v>0</v>
      </c>
      <c r="U173" s="492">
        <f t="shared" si="455"/>
        <v>0</v>
      </c>
      <c r="V173" s="325">
        <v>0</v>
      </c>
      <c r="W173" s="325">
        <v>0</v>
      </c>
      <c r="X173" s="325">
        <v>0</v>
      </c>
      <c r="Y173" s="492">
        <f t="shared" si="456"/>
        <v>0</v>
      </c>
      <c r="Z173" s="492">
        <f t="shared" si="457"/>
        <v>0</v>
      </c>
      <c r="AA173" s="494">
        <f t="shared" si="458"/>
        <v>0</v>
      </c>
      <c r="AB173" s="494">
        <f t="shared" si="459"/>
        <v>0</v>
      </c>
      <c r="AC173" s="492">
        <v>0</v>
      </c>
      <c r="AD173" s="789">
        <f t="shared" si="460"/>
        <v>0</v>
      </c>
      <c r="AE173" s="715">
        <v>0</v>
      </c>
      <c r="AF173" s="326">
        <v>0</v>
      </c>
      <c r="AG173" s="326">
        <v>0</v>
      </c>
      <c r="AH173" s="326">
        <v>0</v>
      </c>
      <c r="AI173" s="326">
        <v>0</v>
      </c>
      <c r="AJ173" s="326">
        <v>0</v>
      </c>
      <c r="AK173" s="626">
        <f t="shared" si="461"/>
        <v>0</v>
      </c>
      <c r="AL173" s="493">
        <f>I173+AD173</f>
        <v>3054698</v>
      </c>
      <c r="AM173" s="492">
        <f>J173+U173</f>
        <v>2266097</v>
      </c>
      <c r="AN173" s="492">
        <f t="shared" si="462"/>
        <v>0</v>
      </c>
      <c r="AO173" s="492">
        <f t="shared" si="463"/>
        <v>765941</v>
      </c>
      <c r="AP173" s="492">
        <f t="shared" si="463"/>
        <v>22660</v>
      </c>
      <c r="AQ173" s="492">
        <v>0</v>
      </c>
      <c r="AR173" s="491">
        <f t="shared" si="464"/>
        <v>3.27</v>
      </c>
    </row>
    <row r="174" spans="1:44" s="152" customFormat="1" ht="12.75" customHeight="1" x14ac:dyDescent="0.2">
      <c r="A174" s="140">
        <v>39</v>
      </c>
      <c r="B174" s="141">
        <v>4432</v>
      </c>
      <c r="C174" s="141">
        <v>600074625</v>
      </c>
      <c r="D174" s="141">
        <v>70695903</v>
      </c>
      <c r="E174" s="139" t="s">
        <v>214</v>
      </c>
      <c r="F174" s="141">
        <v>3117</v>
      </c>
      <c r="G174" s="117" t="s">
        <v>278</v>
      </c>
      <c r="H174" s="565" t="s">
        <v>263</v>
      </c>
      <c r="I174" s="586">
        <f>SUM(J174:L174)</f>
        <v>0</v>
      </c>
      <c r="J174" s="490">
        <v>0</v>
      </c>
      <c r="K174" s="55">
        <f t="shared" si="452"/>
        <v>0</v>
      </c>
      <c r="L174" s="55">
        <f t="shared" si="453"/>
        <v>0</v>
      </c>
      <c r="M174" s="55">
        <v>0</v>
      </c>
      <c r="N174" s="631">
        <v>0</v>
      </c>
      <c r="O174" s="440">
        <f t="shared" si="454"/>
        <v>0</v>
      </c>
      <c r="P174" s="325">
        <f>1081795</f>
        <v>1081795</v>
      </c>
      <c r="Q174" s="325">
        <v>0</v>
      </c>
      <c r="R174" s="325">
        <v>0</v>
      </c>
      <c r="S174" s="325">
        <v>0</v>
      </c>
      <c r="T174" s="325">
        <v>0</v>
      </c>
      <c r="U174" s="492">
        <f t="shared" si="455"/>
        <v>1081795</v>
      </c>
      <c r="V174" s="325">
        <v>0</v>
      </c>
      <c r="W174" s="325">
        <v>0</v>
      </c>
      <c r="X174" s="325">
        <v>0</v>
      </c>
      <c r="Y174" s="492">
        <f t="shared" si="456"/>
        <v>0</v>
      </c>
      <c r="Z174" s="492">
        <f t="shared" si="457"/>
        <v>1081795</v>
      </c>
      <c r="AA174" s="494">
        <f t="shared" si="458"/>
        <v>365647</v>
      </c>
      <c r="AB174" s="494">
        <f t="shared" si="459"/>
        <v>10818</v>
      </c>
      <c r="AC174" s="492">
        <v>0</v>
      </c>
      <c r="AD174" s="789">
        <f t="shared" si="460"/>
        <v>1458260</v>
      </c>
      <c r="AE174" s="715">
        <v>0</v>
      </c>
      <c r="AF174" s="326">
        <f>2.92</f>
        <v>2.92</v>
      </c>
      <c r="AG174" s="326">
        <v>0</v>
      </c>
      <c r="AH174" s="326">
        <v>0</v>
      </c>
      <c r="AI174" s="326">
        <v>0</v>
      </c>
      <c r="AJ174" s="326">
        <v>0</v>
      </c>
      <c r="AK174" s="626">
        <f t="shared" si="461"/>
        <v>2.92</v>
      </c>
      <c r="AL174" s="493">
        <f>I174+AD174</f>
        <v>1458260</v>
      </c>
      <c r="AM174" s="492">
        <f>J174+U174</f>
        <v>1081795</v>
      </c>
      <c r="AN174" s="492">
        <f t="shared" si="462"/>
        <v>0</v>
      </c>
      <c r="AO174" s="492">
        <f t="shared" si="463"/>
        <v>365647</v>
      </c>
      <c r="AP174" s="492">
        <f t="shared" si="463"/>
        <v>10818</v>
      </c>
      <c r="AQ174" s="492">
        <v>0</v>
      </c>
      <c r="AR174" s="491">
        <f t="shared" si="464"/>
        <v>2.92</v>
      </c>
    </row>
    <row r="175" spans="1:44" s="152" customFormat="1" ht="12.75" customHeight="1" x14ac:dyDescent="0.2">
      <c r="A175" s="140">
        <v>39</v>
      </c>
      <c r="B175" s="141">
        <v>4432</v>
      </c>
      <c r="C175" s="141">
        <v>600074625</v>
      </c>
      <c r="D175" s="141">
        <v>70695903</v>
      </c>
      <c r="E175" s="139" t="s">
        <v>214</v>
      </c>
      <c r="F175" s="141">
        <v>3143</v>
      </c>
      <c r="G175" s="117" t="s">
        <v>794</v>
      </c>
      <c r="H175" s="157" t="s">
        <v>262</v>
      </c>
      <c r="I175" s="586">
        <f>SUM(J175:L175)</f>
        <v>768591</v>
      </c>
      <c r="J175" s="490">
        <v>570171</v>
      </c>
      <c r="K175" s="55">
        <f t="shared" si="452"/>
        <v>192718</v>
      </c>
      <c r="L175" s="55">
        <f t="shared" si="453"/>
        <v>5702</v>
      </c>
      <c r="M175" s="55">
        <v>0</v>
      </c>
      <c r="N175" s="631">
        <v>1.1200000000000001</v>
      </c>
      <c r="O175" s="440">
        <f t="shared" si="454"/>
        <v>0</v>
      </c>
      <c r="P175" s="325">
        <v>0</v>
      </c>
      <c r="Q175" s="325">
        <v>0</v>
      </c>
      <c r="R175" s="325">
        <v>0</v>
      </c>
      <c r="S175" s="325">
        <v>0</v>
      </c>
      <c r="T175" s="325">
        <v>0</v>
      </c>
      <c r="U175" s="492">
        <f t="shared" si="455"/>
        <v>0</v>
      </c>
      <c r="V175" s="325">
        <v>0</v>
      </c>
      <c r="W175" s="325">
        <v>0</v>
      </c>
      <c r="X175" s="325">
        <v>0</v>
      </c>
      <c r="Y175" s="492">
        <f t="shared" si="456"/>
        <v>0</v>
      </c>
      <c r="Z175" s="492">
        <f t="shared" si="457"/>
        <v>0</v>
      </c>
      <c r="AA175" s="494">
        <f t="shared" si="458"/>
        <v>0</v>
      </c>
      <c r="AB175" s="494">
        <f t="shared" si="459"/>
        <v>0</v>
      </c>
      <c r="AC175" s="492">
        <v>0</v>
      </c>
      <c r="AD175" s="789">
        <f t="shared" si="460"/>
        <v>0</v>
      </c>
      <c r="AE175" s="715">
        <v>0</v>
      </c>
      <c r="AF175" s="326">
        <v>0</v>
      </c>
      <c r="AG175" s="326">
        <v>0</v>
      </c>
      <c r="AH175" s="326">
        <v>0</v>
      </c>
      <c r="AI175" s="326">
        <v>0</v>
      </c>
      <c r="AJ175" s="326">
        <v>0</v>
      </c>
      <c r="AK175" s="626">
        <f t="shared" si="461"/>
        <v>0</v>
      </c>
      <c r="AL175" s="493">
        <f>I175+AD175</f>
        <v>768591</v>
      </c>
      <c r="AM175" s="492">
        <f>J175+U175</f>
        <v>570171</v>
      </c>
      <c r="AN175" s="492">
        <f t="shared" si="462"/>
        <v>0</v>
      </c>
      <c r="AO175" s="492">
        <f t="shared" si="463"/>
        <v>192718</v>
      </c>
      <c r="AP175" s="492">
        <f t="shared" si="463"/>
        <v>5702</v>
      </c>
      <c r="AQ175" s="492">
        <v>0</v>
      </c>
      <c r="AR175" s="491">
        <f t="shared" si="464"/>
        <v>1.1200000000000001</v>
      </c>
    </row>
    <row r="176" spans="1:44" s="152" customFormat="1" ht="12.75" customHeight="1" x14ac:dyDescent="0.2">
      <c r="A176" s="107">
        <v>39</v>
      </c>
      <c r="B176" s="15">
        <v>4432</v>
      </c>
      <c r="C176" s="15">
        <v>600074625</v>
      </c>
      <c r="D176" s="15">
        <v>70695903</v>
      </c>
      <c r="E176" s="116" t="s">
        <v>215</v>
      </c>
      <c r="F176" s="15"/>
      <c r="G176" s="106"/>
      <c r="H176" s="560"/>
      <c r="I176" s="794">
        <f t="shared" ref="I176:AR176" si="465">SUM(I172:I175)</f>
        <v>5575906</v>
      </c>
      <c r="J176" s="343">
        <f t="shared" si="465"/>
        <v>4136429</v>
      </c>
      <c r="K176" s="343">
        <f t="shared" si="465"/>
        <v>1398113</v>
      </c>
      <c r="L176" s="343">
        <f t="shared" si="465"/>
        <v>41364</v>
      </c>
      <c r="M176" s="343">
        <f t="shared" si="465"/>
        <v>0</v>
      </c>
      <c r="N176" s="35">
        <f t="shared" si="465"/>
        <v>6.55</v>
      </c>
      <c r="O176" s="346">
        <f t="shared" si="465"/>
        <v>0</v>
      </c>
      <c r="P176" s="343">
        <f t="shared" si="465"/>
        <v>1081795</v>
      </c>
      <c r="Q176" s="343">
        <f t="shared" si="465"/>
        <v>0</v>
      </c>
      <c r="R176" s="343">
        <f t="shared" si="465"/>
        <v>0</v>
      </c>
      <c r="S176" s="343">
        <f t="shared" si="465"/>
        <v>0</v>
      </c>
      <c r="T176" s="343">
        <f t="shared" si="465"/>
        <v>0</v>
      </c>
      <c r="U176" s="343">
        <f t="shared" si="465"/>
        <v>1081795</v>
      </c>
      <c r="V176" s="343">
        <f t="shared" si="465"/>
        <v>0</v>
      </c>
      <c r="W176" s="343">
        <f t="shared" si="465"/>
        <v>0</v>
      </c>
      <c r="X176" s="343">
        <f t="shared" si="465"/>
        <v>0</v>
      </c>
      <c r="Y176" s="343">
        <f t="shared" si="465"/>
        <v>0</v>
      </c>
      <c r="Z176" s="343">
        <f t="shared" si="465"/>
        <v>1081795</v>
      </c>
      <c r="AA176" s="343">
        <f t="shared" si="465"/>
        <v>365647</v>
      </c>
      <c r="AB176" s="343">
        <f t="shared" si="465"/>
        <v>10818</v>
      </c>
      <c r="AC176" s="343">
        <f t="shared" si="465"/>
        <v>0</v>
      </c>
      <c r="AD176" s="799">
        <f t="shared" si="465"/>
        <v>1458260</v>
      </c>
      <c r="AE176" s="803">
        <f t="shared" si="465"/>
        <v>0</v>
      </c>
      <c r="AF176" s="344">
        <f t="shared" si="465"/>
        <v>2.92</v>
      </c>
      <c r="AG176" s="344">
        <f t="shared" si="465"/>
        <v>0</v>
      </c>
      <c r="AH176" s="344">
        <f t="shared" si="465"/>
        <v>0</v>
      </c>
      <c r="AI176" s="344">
        <f t="shared" si="465"/>
        <v>0</v>
      </c>
      <c r="AJ176" s="344">
        <f t="shared" si="465"/>
        <v>0</v>
      </c>
      <c r="AK176" s="35">
        <f t="shared" si="465"/>
        <v>2.92</v>
      </c>
      <c r="AL176" s="346">
        <f t="shared" si="465"/>
        <v>7034166</v>
      </c>
      <c r="AM176" s="343">
        <f t="shared" si="465"/>
        <v>5218224</v>
      </c>
      <c r="AN176" s="343">
        <f t="shared" si="465"/>
        <v>0</v>
      </c>
      <c r="AO176" s="343">
        <f t="shared" si="465"/>
        <v>1763760</v>
      </c>
      <c r="AP176" s="343">
        <f t="shared" si="465"/>
        <v>52182</v>
      </c>
      <c r="AQ176" s="343">
        <f t="shared" si="465"/>
        <v>0</v>
      </c>
      <c r="AR176" s="344">
        <f t="shared" si="465"/>
        <v>9.4699999999999989</v>
      </c>
    </row>
    <row r="177" spans="1:44" s="152" customFormat="1" ht="12.75" customHeight="1" x14ac:dyDescent="0.2">
      <c r="A177" s="140">
        <v>40</v>
      </c>
      <c r="B177" s="141">
        <v>4459</v>
      </c>
      <c r="C177" s="141">
        <v>650037171</v>
      </c>
      <c r="D177" s="141">
        <v>72742356</v>
      </c>
      <c r="E177" s="139" t="s">
        <v>216</v>
      </c>
      <c r="F177" s="141">
        <v>3111</v>
      </c>
      <c r="G177" s="117" t="s">
        <v>277</v>
      </c>
      <c r="H177" s="565" t="s">
        <v>262</v>
      </c>
      <c r="I177" s="586">
        <f>SUM(J177:L177)</f>
        <v>3017409</v>
      </c>
      <c r="J177" s="490">
        <v>2238434</v>
      </c>
      <c r="K177" s="55">
        <f t="shared" ref="K177:K180" si="466">ROUND(J177*33.8%,0)</f>
        <v>756591</v>
      </c>
      <c r="L177" s="55">
        <f t="shared" ref="L177:L180" si="467">ROUND(J177*1%,0)</f>
        <v>22384</v>
      </c>
      <c r="M177" s="55">
        <v>0</v>
      </c>
      <c r="N177" s="631">
        <v>3.87</v>
      </c>
      <c r="O177" s="445">
        <f t="shared" ref="O177:O180" si="468">V177*-1</f>
        <v>0</v>
      </c>
      <c r="P177" s="325">
        <v>0</v>
      </c>
      <c r="Q177" s="325">
        <v>0</v>
      </c>
      <c r="R177" s="325">
        <v>0</v>
      </c>
      <c r="S177" s="325">
        <v>0</v>
      </c>
      <c r="T177" s="325">
        <v>0</v>
      </c>
      <c r="U177" s="492">
        <f t="shared" ref="U177:U180" si="469">O177+P177+Q177+R177+S177+T177</f>
        <v>0</v>
      </c>
      <c r="V177" s="325">
        <v>0</v>
      </c>
      <c r="W177" s="325">
        <v>0</v>
      </c>
      <c r="X177" s="325">
        <v>0</v>
      </c>
      <c r="Y177" s="492">
        <f t="shared" ref="Y177:Y180" si="470">V177+W177+X177</f>
        <v>0</v>
      </c>
      <c r="Z177" s="492">
        <f t="shared" ref="Z177:Z180" si="471">U177+Y177</f>
        <v>0</v>
      </c>
      <c r="AA177" s="494">
        <f t="shared" ref="AA177:AA180" si="472">ROUND((U177+Y177)*33.8%,0)</f>
        <v>0</v>
      </c>
      <c r="AB177" s="494">
        <f t="shared" ref="AB177:AB180" si="473">ROUND(U177*1%,0)</f>
        <v>0</v>
      </c>
      <c r="AC177" s="492">
        <v>0</v>
      </c>
      <c r="AD177" s="789">
        <f t="shared" ref="AD177:AD180" si="474">Z177+AA177+AB177+AC177</f>
        <v>0</v>
      </c>
      <c r="AE177" s="715">
        <v>0</v>
      </c>
      <c r="AF177" s="326">
        <v>0</v>
      </c>
      <c r="AG177" s="326">
        <v>0</v>
      </c>
      <c r="AH177" s="326">
        <v>0</v>
      </c>
      <c r="AI177" s="326">
        <v>0</v>
      </c>
      <c r="AJ177" s="326">
        <v>0</v>
      </c>
      <c r="AK177" s="626">
        <f t="shared" ref="AK177:AK180" si="475">SUM(AE177:AJ177)</f>
        <v>0</v>
      </c>
      <c r="AL177" s="493">
        <f>I177+AD177</f>
        <v>3017409</v>
      </c>
      <c r="AM177" s="492">
        <f>J177+U177</f>
        <v>2238434</v>
      </c>
      <c r="AN177" s="492">
        <f t="shared" ref="AN177:AN180" si="476">Y177</f>
        <v>0</v>
      </c>
      <c r="AO177" s="492">
        <f t="shared" ref="AO177:AP180" si="477">K177+AA177</f>
        <v>756591</v>
      </c>
      <c r="AP177" s="492">
        <f t="shared" si="477"/>
        <v>22384</v>
      </c>
      <c r="AQ177" s="492">
        <v>0</v>
      </c>
      <c r="AR177" s="491">
        <f t="shared" ref="AR177:AR180" si="478">N177+AK177</f>
        <v>3.87</v>
      </c>
    </row>
    <row r="178" spans="1:44" s="152" customFormat="1" ht="12.75" customHeight="1" x14ac:dyDescent="0.2">
      <c r="A178" s="140">
        <v>40</v>
      </c>
      <c r="B178" s="141">
        <v>4459</v>
      </c>
      <c r="C178" s="141">
        <v>650037171</v>
      </c>
      <c r="D178" s="141">
        <v>72742356</v>
      </c>
      <c r="E178" s="139" t="s">
        <v>216</v>
      </c>
      <c r="F178" s="141">
        <v>3113</v>
      </c>
      <c r="G178" s="117" t="s">
        <v>280</v>
      </c>
      <c r="H178" s="565" t="s">
        <v>262</v>
      </c>
      <c r="I178" s="586">
        <f>SUM(J178:L178)</f>
        <v>13008215</v>
      </c>
      <c r="J178" s="490">
        <v>9650011</v>
      </c>
      <c r="K178" s="55">
        <f>ROUND(J178*33.8%,0)-1</f>
        <v>3261703</v>
      </c>
      <c r="L178" s="55">
        <f>ROUND(J178*1%,0)+1</f>
        <v>96501</v>
      </c>
      <c r="M178" s="55">
        <v>0</v>
      </c>
      <c r="N178" s="631">
        <v>14.44</v>
      </c>
      <c r="O178" s="440">
        <f t="shared" si="468"/>
        <v>0</v>
      </c>
      <c r="P178" s="325">
        <v>0</v>
      </c>
      <c r="Q178" s="325">
        <v>75060</v>
      </c>
      <c r="R178" s="325">
        <v>0</v>
      </c>
      <c r="S178" s="325">
        <v>0</v>
      </c>
      <c r="T178" s="325">
        <v>0</v>
      </c>
      <c r="U178" s="492">
        <f t="shared" si="469"/>
        <v>75060</v>
      </c>
      <c r="V178" s="325">
        <v>0</v>
      </c>
      <c r="W178" s="325">
        <v>0</v>
      </c>
      <c r="X178" s="325">
        <v>0</v>
      </c>
      <c r="Y178" s="492">
        <f t="shared" si="470"/>
        <v>0</v>
      </c>
      <c r="Z178" s="492">
        <f t="shared" si="471"/>
        <v>75060</v>
      </c>
      <c r="AA178" s="494">
        <f t="shared" si="472"/>
        <v>25370</v>
      </c>
      <c r="AB178" s="494">
        <f t="shared" si="473"/>
        <v>751</v>
      </c>
      <c r="AC178" s="492">
        <v>0</v>
      </c>
      <c r="AD178" s="789">
        <f t="shared" si="474"/>
        <v>101181</v>
      </c>
      <c r="AE178" s="715">
        <v>0</v>
      </c>
      <c r="AF178" s="326">
        <v>0</v>
      </c>
      <c r="AG178" s="326">
        <v>0</v>
      </c>
      <c r="AH178" s="326">
        <v>0.1</v>
      </c>
      <c r="AI178" s="326">
        <v>0</v>
      </c>
      <c r="AJ178" s="326">
        <v>0</v>
      </c>
      <c r="AK178" s="626">
        <f t="shared" si="475"/>
        <v>0.1</v>
      </c>
      <c r="AL178" s="493">
        <f>I178+AD178</f>
        <v>13109396</v>
      </c>
      <c r="AM178" s="492">
        <f>J178+U178</f>
        <v>9725071</v>
      </c>
      <c r="AN178" s="492">
        <f t="shared" si="476"/>
        <v>0</v>
      </c>
      <c r="AO178" s="492">
        <f t="shared" si="477"/>
        <v>3287073</v>
      </c>
      <c r="AP178" s="492">
        <f t="shared" si="477"/>
        <v>97252</v>
      </c>
      <c r="AQ178" s="492">
        <v>0</v>
      </c>
      <c r="AR178" s="491">
        <f t="shared" si="478"/>
        <v>14.54</v>
      </c>
    </row>
    <row r="179" spans="1:44" s="152" customFormat="1" ht="12.75" customHeight="1" x14ac:dyDescent="0.2">
      <c r="A179" s="140">
        <v>40</v>
      </c>
      <c r="B179" s="141">
        <v>4459</v>
      </c>
      <c r="C179" s="141">
        <v>650037171</v>
      </c>
      <c r="D179" s="141">
        <v>72742356</v>
      </c>
      <c r="E179" s="139" t="s">
        <v>216</v>
      </c>
      <c r="F179" s="141">
        <v>3113</v>
      </c>
      <c r="G179" s="117" t="s">
        <v>278</v>
      </c>
      <c r="H179" s="565" t="s">
        <v>263</v>
      </c>
      <c r="I179" s="586">
        <f>SUM(J179:L179)</f>
        <v>0</v>
      </c>
      <c r="J179" s="490">
        <v>0</v>
      </c>
      <c r="K179" s="55">
        <f t="shared" si="466"/>
        <v>0</v>
      </c>
      <c r="L179" s="55">
        <f t="shared" si="467"/>
        <v>0</v>
      </c>
      <c r="M179" s="55">
        <v>0</v>
      </c>
      <c r="N179" s="631">
        <v>0</v>
      </c>
      <c r="O179" s="440">
        <f t="shared" si="468"/>
        <v>0</v>
      </c>
      <c r="P179" s="325">
        <v>1885027</v>
      </c>
      <c r="Q179" s="325">
        <v>0</v>
      </c>
      <c r="R179" s="325">
        <v>0</v>
      </c>
      <c r="S179" s="325">
        <v>0</v>
      </c>
      <c r="T179" s="325">
        <v>0</v>
      </c>
      <c r="U179" s="492">
        <f t="shared" si="469"/>
        <v>1885027</v>
      </c>
      <c r="V179" s="325">
        <v>0</v>
      </c>
      <c r="W179" s="325">
        <v>0</v>
      </c>
      <c r="X179" s="325">
        <v>0</v>
      </c>
      <c r="Y179" s="492">
        <f t="shared" si="470"/>
        <v>0</v>
      </c>
      <c r="Z179" s="492">
        <f t="shared" si="471"/>
        <v>1885027</v>
      </c>
      <c r="AA179" s="494">
        <f t="shared" si="472"/>
        <v>637139</v>
      </c>
      <c r="AB179" s="494">
        <f t="shared" si="473"/>
        <v>18850</v>
      </c>
      <c r="AC179" s="492">
        <v>0</v>
      </c>
      <c r="AD179" s="789">
        <f t="shared" si="474"/>
        <v>2541016</v>
      </c>
      <c r="AE179" s="715">
        <v>0</v>
      </c>
      <c r="AF179" s="326">
        <v>4.75</v>
      </c>
      <c r="AG179" s="326">
        <v>0</v>
      </c>
      <c r="AH179" s="326">
        <v>0</v>
      </c>
      <c r="AI179" s="326">
        <v>0</v>
      </c>
      <c r="AJ179" s="326">
        <v>0</v>
      </c>
      <c r="AK179" s="626">
        <f t="shared" si="475"/>
        <v>4.75</v>
      </c>
      <c r="AL179" s="493">
        <f>I179+AD179</f>
        <v>2541016</v>
      </c>
      <c r="AM179" s="492">
        <f>J179+U179</f>
        <v>1885027</v>
      </c>
      <c r="AN179" s="492">
        <f t="shared" si="476"/>
        <v>0</v>
      </c>
      <c r="AO179" s="492">
        <f t="shared" si="477"/>
        <v>637139</v>
      </c>
      <c r="AP179" s="492">
        <f t="shared" si="477"/>
        <v>18850</v>
      </c>
      <c r="AQ179" s="492">
        <v>0</v>
      </c>
      <c r="AR179" s="491">
        <f t="shared" si="478"/>
        <v>4.75</v>
      </c>
    </row>
    <row r="180" spans="1:44" s="152" customFormat="1" ht="12.75" customHeight="1" x14ac:dyDescent="0.2">
      <c r="A180" s="140">
        <v>40</v>
      </c>
      <c r="B180" s="141">
        <v>4459</v>
      </c>
      <c r="C180" s="141">
        <v>650037171</v>
      </c>
      <c r="D180" s="141">
        <v>72742356</v>
      </c>
      <c r="E180" s="139" t="s">
        <v>216</v>
      </c>
      <c r="F180" s="141">
        <v>3143</v>
      </c>
      <c r="G180" s="117" t="s">
        <v>795</v>
      </c>
      <c r="H180" s="157" t="s">
        <v>262</v>
      </c>
      <c r="I180" s="586">
        <f>SUM(J180:L180)</f>
        <v>1897736</v>
      </c>
      <c r="J180" s="490">
        <v>1407816</v>
      </c>
      <c r="K180" s="55">
        <f t="shared" si="466"/>
        <v>475842</v>
      </c>
      <c r="L180" s="55">
        <f t="shared" si="467"/>
        <v>14078</v>
      </c>
      <c r="M180" s="55">
        <v>0</v>
      </c>
      <c r="N180" s="631">
        <v>2.78</v>
      </c>
      <c r="O180" s="440">
        <f t="shared" si="468"/>
        <v>0</v>
      </c>
      <c r="P180" s="325">
        <v>0</v>
      </c>
      <c r="Q180" s="325">
        <v>0</v>
      </c>
      <c r="R180" s="325">
        <v>0</v>
      </c>
      <c r="S180" s="325">
        <v>0</v>
      </c>
      <c r="T180" s="325">
        <v>0</v>
      </c>
      <c r="U180" s="492">
        <f t="shared" si="469"/>
        <v>0</v>
      </c>
      <c r="V180" s="325">
        <v>0</v>
      </c>
      <c r="W180" s="325">
        <v>0</v>
      </c>
      <c r="X180" s="325">
        <v>0</v>
      </c>
      <c r="Y180" s="492">
        <f t="shared" si="470"/>
        <v>0</v>
      </c>
      <c r="Z180" s="492">
        <f t="shared" si="471"/>
        <v>0</v>
      </c>
      <c r="AA180" s="494">
        <f t="shared" si="472"/>
        <v>0</v>
      </c>
      <c r="AB180" s="494">
        <f t="shared" si="473"/>
        <v>0</v>
      </c>
      <c r="AC180" s="492">
        <v>0</v>
      </c>
      <c r="AD180" s="789">
        <f t="shared" si="474"/>
        <v>0</v>
      </c>
      <c r="AE180" s="715">
        <v>0</v>
      </c>
      <c r="AF180" s="326">
        <v>0</v>
      </c>
      <c r="AG180" s="326">
        <v>0</v>
      </c>
      <c r="AH180" s="326">
        <v>0</v>
      </c>
      <c r="AI180" s="326">
        <v>0</v>
      </c>
      <c r="AJ180" s="326">
        <v>0</v>
      </c>
      <c r="AK180" s="626">
        <f t="shared" si="475"/>
        <v>0</v>
      </c>
      <c r="AL180" s="493">
        <f>I180+AD180</f>
        <v>1897736</v>
      </c>
      <c r="AM180" s="492">
        <f>J180+U180</f>
        <v>1407816</v>
      </c>
      <c r="AN180" s="492">
        <f t="shared" si="476"/>
        <v>0</v>
      </c>
      <c r="AO180" s="492">
        <f t="shared" si="477"/>
        <v>475842</v>
      </c>
      <c r="AP180" s="492">
        <f t="shared" si="477"/>
        <v>14078</v>
      </c>
      <c r="AQ180" s="492">
        <v>0</v>
      </c>
      <c r="AR180" s="491">
        <f t="shared" si="478"/>
        <v>2.78</v>
      </c>
    </row>
    <row r="181" spans="1:44" s="152" customFormat="1" ht="12.75" customHeight="1" x14ac:dyDescent="0.2">
      <c r="A181" s="107">
        <v>40</v>
      </c>
      <c r="B181" s="15">
        <v>4459</v>
      </c>
      <c r="C181" s="15">
        <v>650037171</v>
      </c>
      <c r="D181" s="15">
        <v>72742356</v>
      </c>
      <c r="E181" s="116" t="s">
        <v>217</v>
      </c>
      <c r="F181" s="15"/>
      <c r="G181" s="106"/>
      <c r="H181" s="560"/>
      <c r="I181" s="794">
        <f t="shared" ref="I181:AR181" si="479">SUM(I177:I180)</f>
        <v>17923360</v>
      </c>
      <c r="J181" s="343">
        <f t="shared" si="479"/>
        <v>13296261</v>
      </c>
      <c r="K181" s="343">
        <f t="shared" si="479"/>
        <v>4494136</v>
      </c>
      <c r="L181" s="343">
        <f t="shared" si="479"/>
        <v>132963</v>
      </c>
      <c r="M181" s="343">
        <f t="shared" si="479"/>
        <v>0</v>
      </c>
      <c r="N181" s="35">
        <f t="shared" si="479"/>
        <v>21.09</v>
      </c>
      <c r="O181" s="346">
        <f t="shared" si="479"/>
        <v>0</v>
      </c>
      <c r="P181" s="343">
        <f t="shared" si="479"/>
        <v>1885027</v>
      </c>
      <c r="Q181" s="343">
        <f t="shared" si="479"/>
        <v>75060</v>
      </c>
      <c r="R181" s="343">
        <f t="shared" si="479"/>
        <v>0</v>
      </c>
      <c r="S181" s="343">
        <f t="shared" si="479"/>
        <v>0</v>
      </c>
      <c r="T181" s="343">
        <f t="shared" si="479"/>
        <v>0</v>
      </c>
      <c r="U181" s="343">
        <f t="shared" si="479"/>
        <v>1960087</v>
      </c>
      <c r="V181" s="343">
        <f t="shared" si="479"/>
        <v>0</v>
      </c>
      <c r="W181" s="343">
        <f t="shared" si="479"/>
        <v>0</v>
      </c>
      <c r="X181" s="343">
        <f t="shared" si="479"/>
        <v>0</v>
      </c>
      <c r="Y181" s="343">
        <f t="shared" si="479"/>
        <v>0</v>
      </c>
      <c r="Z181" s="343">
        <f t="shared" si="479"/>
        <v>1960087</v>
      </c>
      <c r="AA181" s="343">
        <f t="shared" si="479"/>
        <v>662509</v>
      </c>
      <c r="AB181" s="343">
        <f t="shared" si="479"/>
        <v>19601</v>
      </c>
      <c r="AC181" s="343">
        <f t="shared" si="479"/>
        <v>0</v>
      </c>
      <c r="AD181" s="799">
        <f t="shared" si="479"/>
        <v>2642197</v>
      </c>
      <c r="AE181" s="803">
        <f t="shared" si="479"/>
        <v>0</v>
      </c>
      <c r="AF181" s="344">
        <f t="shared" si="479"/>
        <v>4.75</v>
      </c>
      <c r="AG181" s="344">
        <f t="shared" si="479"/>
        <v>0</v>
      </c>
      <c r="AH181" s="344">
        <f t="shared" si="479"/>
        <v>0.1</v>
      </c>
      <c r="AI181" s="344">
        <f t="shared" si="479"/>
        <v>0</v>
      </c>
      <c r="AJ181" s="344">
        <f t="shared" si="479"/>
        <v>0</v>
      </c>
      <c r="AK181" s="35">
        <f t="shared" si="479"/>
        <v>4.8499999999999996</v>
      </c>
      <c r="AL181" s="346">
        <f t="shared" si="479"/>
        <v>20565557</v>
      </c>
      <c r="AM181" s="343">
        <f t="shared" si="479"/>
        <v>15256348</v>
      </c>
      <c r="AN181" s="343">
        <f t="shared" si="479"/>
        <v>0</v>
      </c>
      <c r="AO181" s="343">
        <f t="shared" si="479"/>
        <v>5156645</v>
      </c>
      <c r="AP181" s="343">
        <f t="shared" si="479"/>
        <v>152564</v>
      </c>
      <c r="AQ181" s="343">
        <f t="shared" si="479"/>
        <v>0</v>
      </c>
      <c r="AR181" s="344">
        <f t="shared" si="479"/>
        <v>25.94</v>
      </c>
    </row>
    <row r="182" spans="1:44" s="152" customFormat="1" ht="12.75" customHeight="1" x14ac:dyDescent="0.2">
      <c r="A182" s="140">
        <v>41</v>
      </c>
      <c r="B182" s="141">
        <v>4424</v>
      </c>
      <c r="C182" s="141">
        <v>600074170</v>
      </c>
      <c r="D182" s="141">
        <v>72741562</v>
      </c>
      <c r="E182" s="139" t="s">
        <v>218</v>
      </c>
      <c r="F182" s="141">
        <v>3111</v>
      </c>
      <c r="G182" s="117" t="s">
        <v>277</v>
      </c>
      <c r="H182" s="565" t="s">
        <v>262</v>
      </c>
      <c r="I182" s="586">
        <f>SUM(J182:L182)</f>
        <v>3153455</v>
      </c>
      <c r="J182" s="490">
        <v>2339358</v>
      </c>
      <c r="K182" s="55">
        <f t="shared" ref="K182:K183" si="480">ROUND(J182*33.8%,0)</f>
        <v>790703</v>
      </c>
      <c r="L182" s="55">
        <f t="shared" ref="L182:L183" si="481">ROUND(J182*1%,0)</f>
        <v>23394</v>
      </c>
      <c r="M182" s="55">
        <v>0</v>
      </c>
      <c r="N182" s="631">
        <v>4.2300000000000004</v>
      </c>
      <c r="O182" s="445">
        <f>V182*-1</f>
        <v>0</v>
      </c>
      <c r="P182" s="325">
        <v>0</v>
      </c>
      <c r="Q182" s="325">
        <v>0</v>
      </c>
      <c r="R182" s="325">
        <v>0</v>
      </c>
      <c r="S182" s="325">
        <v>0</v>
      </c>
      <c r="T182" s="325">
        <v>0</v>
      </c>
      <c r="U182" s="492">
        <f t="shared" ref="U182:U183" si="482">O182+P182+Q182+R182+S182+T182</f>
        <v>0</v>
      </c>
      <c r="V182" s="325">
        <v>0</v>
      </c>
      <c r="W182" s="325">
        <v>0</v>
      </c>
      <c r="X182" s="325">
        <v>0</v>
      </c>
      <c r="Y182" s="492">
        <f t="shared" ref="Y182:Y183" si="483">V182+W182+X182</f>
        <v>0</v>
      </c>
      <c r="Z182" s="492">
        <f t="shared" ref="Z182:Z183" si="484">U182+Y182</f>
        <v>0</v>
      </c>
      <c r="AA182" s="494">
        <f t="shared" ref="AA182:AA183" si="485">ROUND((U182+Y182)*33.8%,0)</f>
        <v>0</v>
      </c>
      <c r="AB182" s="494">
        <f t="shared" ref="AB182:AB183" si="486">ROUND(U182*1%,0)</f>
        <v>0</v>
      </c>
      <c r="AC182" s="492">
        <v>0</v>
      </c>
      <c r="AD182" s="789">
        <f t="shared" ref="AD182:AD183" si="487">Z182+AA182+AB182+AC182</f>
        <v>0</v>
      </c>
      <c r="AE182" s="715">
        <v>0</v>
      </c>
      <c r="AF182" s="326">
        <v>0</v>
      </c>
      <c r="AG182" s="326">
        <v>0</v>
      </c>
      <c r="AH182" s="326">
        <v>0</v>
      </c>
      <c r="AI182" s="326">
        <v>0</v>
      </c>
      <c r="AJ182" s="326">
        <v>0</v>
      </c>
      <c r="AK182" s="626">
        <f t="shared" ref="AK182:AK183" si="488">SUM(AE182:AJ182)</f>
        <v>0</v>
      </c>
      <c r="AL182" s="493">
        <f>I182+AD182</f>
        <v>3153455</v>
      </c>
      <c r="AM182" s="492">
        <f>J182+U182</f>
        <v>2339358</v>
      </c>
      <c r="AN182" s="492">
        <f t="shared" ref="AN182:AN183" si="489">Y182</f>
        <v>0</v>
      </c>
      <c r="AO182" s="492">
        <f>K182+AA182</f>
        <v>790703</v>
      </c>
      <c r="AP182" s="492">
        <f>L182+AB182</f>
        <v>23394</v>
      </c>
      <c r="AQ182" s="492">
        <v>0</v>
      </c>
      <c r="AR182" s="491">
        <f t="shared" ref="AR182:AR183" si="490">N182+AK182</f>
        <v>4.2300000000000004</v>
      </c>
    </row>
    <row r="183" spans="1:44" s="152" customFormat="1" ht="12.75" customHeight="1" x14ac:dyDescent="0.2">
      <c r="A183" s="140">
        <v>41</v>
      </c>
      <c r="B183" s="141">
        <v>4424</v>
      </c>
      <c r="C183" s="141">
        <v>600074170</v>
      </c>
      <c r="D183" s="141">
        <v>72741562</v>
      </c>
      <c r="E183" s="139" t="s">
        <v>218</v>
      </c>
      <c r="F183" s="141">
        <v>3111</v>
      </c>
      <c r="G183" s="117" t="s">
        <v>278</v>
      </c>
      <c r="H183" s="565" t="s">
        <v>263</v>
      </c>
      <c r="I183" s="586">
        <f>SUM(J183:L183)</f>
        <v>0</v>
      </c>
      <c r="J183" s="490">
        <v>0</v>
      </c>
      <c r="K183" s="55">
        <f t="shared" si="480"/>
        <v>0</v>
      </c>
      <c r="L183" s="55">
        <f t="shared" si="481"/>
        <v>0</v>
      </c>
      <c r="M183" s="55">
        <v>0</v>
      </c>
      <c r="N183" s="631">
        <v>0</v>
      </c>
      <c r="O183" s="440">
        <f>V183*-1</f>
        <v>0</v>
      </c>
      <c r="P183" s="325">
        <v>0</v>
      </c>
      <c r="Q183" s="325">
        <v>0</v>
      </c>
      <c r="R183" s="325">
        <v>0</v>
      </c>
      <c r="S183" s="325">
        <v>0</v>
      </c>
      <c r="T183" s="325">
        <v>0</v>
      </c>
      <c r="U183" s="492">
        <f t="shared" si="482"/>
        <v>0</v>
      </c>
      <c r="V183" s="325">
        <v>0</v>
      </c>
      <c r="W183" s="325">
        <v>0</v>
      </c>
      <c r="X183" s="325">
        <v>0</v>
      </c>
      <c r="Y183" s="492">
        <f t="shared" si="483"/>
        <v>0</v>
      </c>
      <c r="Z183" s="492">
        <f t="shared" si="484"/>
        <v>0</v>
      </c>
      <c r="AA183" s="494">
        <f t="shared" si="485"/>
        <v>0</v>
      </c>
      <c r="AB183" s="494">
        <f t="shared" si="486"/>
        <v>0</v>
      </c>
      <c r="AC183" s="492">
        <v>0</v>
      </c>
      <c r="AD183" s="789">
        <f t="shared" si="487"/>
        <v>0</v>
      </c>
      <c r="AE183" s="715">
        <v>0</v>
      </c>
      <c r="AF183" s="326">
        <v>0</v>
      </c>
      <c r="AG183" s="326">
        <v>0</v>
      </c>
      <c r="AH183" s="326">
        <v>0</v>
      </c>
      <c r="AI183" s="326">
        <v>0</v>
      </c>
      <c r="AJ183" s="326">
        <v>0</v>
      </c>
      <c r="AK183" s="626">
        <f t="shared" si="488"/>
        <v>0</v>
      </c>
      <c r="AL183" s="493">
        <f>I183+AD183</f>
        <v>0</v>
      </c>
      <c r="AM183" s="492">
        <f>J183+U183</f>
        <v>0</v>
      </c>
      <c r="AN183" s="492">
        <f t="shared" si="489"/>
        <v>0</v>
      </c>
      <c r="AO183" s="492">
        <f>K183+AA183</f>
        <v>0</v>
      </c>
      <c r="AP183" s="492">
        <f>L183+AB183</f>
        <v>0</v>
      </c>
      <c r="AQ183" s="492">
        <v>0</v>
      </c>
      <c r="AR183" s="491">
        <f t="shared" si="490"/>
        <v>0</v>
      </c>
    </row>
    <row r="184" spans="1:44" s="152" customFormat="1" ht="12.75" customHeight="1" x14ac:dyDescent="0.2">
      <c r="A184" s="107">
        <v>41</v>
      </c>
      <c r="B184" s="15">
        <v>4424</v>
      </c>
      <c r="C184" s="15">
        <v>600074170</v>
      </c>
      <c r="D184" s="15">
        <v>72741562</v>
      </c>
      <c r="E184" s="116" t="s">
        <v>219</v>
      </c>
      <c r="F184" s="15"/>
      <c r="G184" s="106"/>
      <c r="H184" s="560"/>
      <c r="I184" s="794">
        <f t="shared" ref="I184:AR184" si="491">SUM(I182:I183)</f>
        <v>3153455</v>
      </c>
      <c r="J184" s="343">
        <f t="shared" si="491"/>
        <v>2339358</v>
      </c>
      <c r="K184" s="343">
        <f t="shared" si="491"/>
        <v>790703</v>
      </c>
      <c r="L184" s="343">
        <f t="shared" si="491"/>
        <v>23394</v>
      </c>
      <c r="M184" s="343">
        <f t="shared" si="491"/>
        <v>0</v>
      </c>
      <c r="N184" s="35">
        <f t="shared" si="491"/>
        <v>4.2300000000000004</v>
      </c>
      <c r="O184" s="346">
        <f t="shared" si="491"/>
        <v>0</v>
      </c>
      <c r="P184" s="343">
        <f t="shared" si="491"/>
        <v>0</v>
      </c>
      <c r="Q184" s="343">
        <f t="shared" si="491"/>
        <v>0</v>
      </c>
      <c r="R184" s="343">
        <f t="shared" si="491"/>
        <v>0</v>
      </c>
      <c r="S184" s="343">
        <f t="shared" si="491"/>
        <v>0</v>
      </c>
      <c r="T184" s="343">
        <f t="shared" si="491"/>
        <v>0</v>
      </c>
      <c r="U184" s="343">
        <f t="shared" si="491"/>
        <v>0</v>
      </c>
      <c r="V184" s="343">
        <f t="shared" si="491"/>
        <v>0</v>
      </c>
      <c r="W184" s="343">
        <f t="shared" si="491"/>
        <v>0</v>
      </c>
      <c r="X184" s="343">
        <f t="shared" si="491"/>
        <v>0</v>
      </c>
      <c r="Y184" s="343">
        <f t="shared" si="491"/>
        <v>0</v>
      </c>
      <c r="Z184" s="343">
        <f t="shared" si="491"/>
        <v>0</v>
      </c>
      <c r="AA184" s="343">
        <f t="shared" si="491"/>
        <v>0</v>
      </c>
      <c r="AB184" s="343">
        <f t="shared" si="491"/>
        <v>0</v>
      </c>
      <c r="AC184" s="343">
        <f t="shared" si="491"/>
        <v>0</v>
      </c>
      <c r="AD184" s="799">
        <f t="shared" si="491"/>
        <v>0</v>
      </c>
      <c r="AE184" s="803">
        <f t="shared" si="491"/>
        <v>0</v>
      </c>
      <c r="AF184" s="344">
        <f t="shared" si="491"/>
        <v>0</v>
      </c>
      <c r="AG184" s="344">
        <f t="shared" si="491"/>
        <v>0</v>
      </c>
      <c r="AH184" s="344">
        <f t="shared" si="491"/>
        <v>0</v>
      </c>
      <c r="AI184" s="344">
        <f t="shared" si="491"/>
        <v>0</v>
      </c>
      <c r="AJ184" s="344">
        <f t="shared" si="491"/>
        <v>0</v>
      </c>
      <c r="AK184" s="35">
        <f t="shared" si="491"/>
        <v>0</v>
      </c>
      <c r="AL184" s="346">
        <f t="shared" si="491"/>
        <v>3153455</v>
      </c>
      <c r="AM184" s="343">
        <f t="shared" si="491"/>
        <v>2339358</v>
      </c>
      <c r="AN184" s="343">
        <f t="shared" si="491"/>
        <v>0</v>
      </c>
      <c r="AO184" s="343">
        <f t="shared" si="491"/>
        <v>790703</v>
      </c>
      <c r="AP184" s="343">
        <f t="shared" si="491"/>
        <v>23394</v>
      </c>
      <c r="AQ184" s="343">
        <f t="shared" si="491"/>
        <v>0</v>
      </c>
      <c r="AR184" s="344">
        <f t="shared" si="491"/>
        <v>4.2300000000000004</v>
      </c>
    </row>
    <row r="185" spans="1:44" s="152" customFormat="1" ht="12.75" customHeight="1" x14ac:dyDescent="0.2">
      <c r="A185" s="140">
        <v>42</v>
      </c>
      <c r="B185" s="141">
        <v>4489</v>
      </c>
      <c r="C185" s="141">
        <v>600075036</v>
      </c>
      <c r="D185" s="141">
        <v>72742607</v>
      </c>
      <c r="E185" s="139" t="s">
        <v>220</v>
      </c>
      <c r="F185" s="141">
        <v>3111</v>
      </c>
      <c r="G185" s="117" t="s">
        <v>277</v>
      </c>
      <c r="H185" s="565" t="s">
        <v>262</v>
      </c>
      <c r="I185" s="586">
        <f>SUM(J185:L185)</f>
        <v>3244764</v>
      </c>
      <c r="J185" s="490">
        <v>2407095</v>
      </c>
      <c r="K185" s="55">
        <f t="shared" ref="K185:K188" si="492">ROUND(J185*33.8%,0)</f>
        <v>813598</v>
      </c>
      <c r="L185" s="55">
        <f t="shared" ref="L185:L188" si="493">ROUND(J185*1%,0)</f>
        <v>24071</v>
      </c>
      <c r="M185" s="55">
        <v>0</v>
      </c>
      <c r="N185" s="631">
        <v>4</v>
      </c>
      <c r="O185" s="445">
        <f t="shared" ref="O185:O188" si="494">V185*-1</f>
        <v>0</v>
      </c>
      <c r="P185" s="325">
        <v>0</v>
      </c>
      <c r="Q185" s="325">
        <v>0</v>
      </c>
      <c r="R185" s="325">
        <v>0</v>
      </c>
      <c r="S185" s="325">
        <v>0</v>
      </c>
      <c r="T185" s="325">
        <v>0</v>
      </c>
      <c r="U185" s="492">
        <f t="shared" ref="U185:U188" si="495">O185+P185+Q185+R185+S185+T185</f>
        <v>0</v>
      </c>
      <c r="V185" s="325">
        <v>0</v>
      </c>
      <c r="W185" s="325">
        <v>0</v>
      </c>
      <c r="X185" s="325">
        <v>0</v>
      </c>
      <c r="Y185" s="492">
        <f t="shared" ref="Y185:Y188" si="496">V185+W185+X185</f>
        <v>0</v>
      </c>
      <c r="Z185" s="492">
        <f t="shared" ref="Z185:Z188" si="497">U185+Y185</f>
        <v>0</v>
      </c>
      <c r="AA185" s="494">
        <f t="shared" ref="AA185:AA188" si="498">ROUND((U185+Y185)*33.8%,0)</f>
        <v>0</v>
      </c>
      <c r="AB185" s="494">
        <f t="shared" ref="AB185:AB188" si="499">ROUND(U185*1%,0)</f>
        <v>0</v>
      </c>
      <c r="AC185" s="492">
        <v>0</v>
      </c>
      <c r="AD185" s="789">
        <f t="shared" ref="AD185:AD188" si="500">Z185+AA185+AB185+AC185</f>
        <v>0</v>
      </c>
      <c r="AE185" s="715">
        <v>0</v>
      </c>
      <c r="AF185" s="326">
        <v>0</v>
      </c>
      <c r="AG185" s="326">
        <v>0</v>
      </c>
      <c r="AH185" s="326">
        <v>0</v>
      </c>
      <c r="AI185" s="326">
        <v>0</v>
      </c>
      <c r="AJ185" s="326">
        <v>0</v>
      </c>
      <c r="AK185" s="626">
        <f t="shared" ref="AK185:AK188" si="501">SUM(AE185:AJ185)</f>
        <v>0</v>
      </c>
      <c r="AL185" s="493">
        <f>I185+AD185</f>
        <v>3244764</v>
      </c>
      <c r="AM185" s="492">
        <f>J185+U185</f>
        <v>2407095</v>
      </c>
      <c r="AN185" s="492">
        <f t="shared" ref="AN185:AN188" si="502">Y185</f>
        <v>0</v>
      </c>
      <c r="AO185" s="492">
        <f t="shared" ref="AO185:AP188" si="503">K185+AA185</f>
        <v>813598</v>
      </c>
      <c r="AP185" s="492">
        <f t="shared" si="503"/>
        <v>24071</v>
      </c>
      <c r="AQ185" s="492">
        <v>0</v>
      </c>
      <c r="AR185" s="491">
        <f t="shared" ref="AR185:AR188" si="504">N185+AK185</f>
        <v>4</v>
      </c>
    </row>
    <row r="186" spans="1:44" s="152" customFormat="1" ht="12.75" customHeight="1" x14ac:dyDescent="0.2">
      <c r="A186" s="140">
        <v>42</v>
      </c>
      <c r="B186" s="141">
        <v>4489</v>
      </c>
      <c r="C186" s="141">
        <v>600075036</v>
      </c>
      <c r="D186" s="141">
        <v>72742607</v>
      </c>
      <c r="E186" s="139" t="s">
        <v>220</v>
      </c>
      <c r="F186" s="141">
        <v>3117</v>
      </c>
      <c r="G186" s="117" t="s">
        <v>280</v>
      </c>
      <c r="H186" s="565" t="s">
        <v>262</v>
      </c>
      <c r="I186" s="586">
        <f>SUM(J186:L186)</f>
        <v>3947046</v>
      </c>
      <c r="J186" s="490">
        <v>2928075</v>
      </c>
      <c r="K186" s="55">
        <f>ROUND(J186*33.8%,0)+1</f>
        <v>989690</v>
      </c>
      <c r="L186" s="55">
        <f t="shared" si="493"/>
        <v>29281</v>
      </c>
      <c r="M186" s="55">
        <v>0</v>
      </c>
      <c r="N186" s="631">
        <v>4.2300000000000004</v>
      </c>
      <c r="O186" s="440">
        <f t="shared" si="494"/>
        <v>0</v>
      </c>
      <c r="P186" s="325">
        <v>0</v>
      </c>
      <c r="Q186" s="325">
        <v>0</v>
      </c>
      <c r="R186" s="325">
        <v>0</v>
      </c>
      <c r="S186" s="325">
        <v>0</v>
      </c>
      <c r="T186" s="325">
        <v>0</v>
      </c>
      <c r="U186" s="492">
        <f t="shared" si="495"/>
        <v>0</v>
      </c>
      <c r="V186" s="325">
        <v>0</v>
      </c>
      <c r="W186" s="325">
        <v>0</v>
      </c>
      <c r="X186" s="325">
        <v>0</v>
      </c>
      <c r="Y186" s="492">
        <f t="shared" si="496"/>
        <v>0</v>
      </c>
      <c r="Z186" s="492">
        <f t="shared" si="497"/>
        <v>0</v>
      </c>
      <c r="AA186" s="494">
        <f t="shared" si="498"/>
        <v>0</v>
      </c>
      <c r="AB186" s="494">
        <f t="shared" si="499"/>
        <v>0</v>
      </c>
      <c r="AC186" s="492">
        <v>0</v>
      </c>
      <c r="AD186" s="789">
        <f t="shared" si="500"/>
        <v>0</v>
      </c>
      <c r="AE186" s="715">
        <v>0</v>
      </c>
      <c r="AF186" s="326">
        <v>0</v>
      </c>
      <c r="AG186" s="326">
        <v>0</v>
      </c>
      <c r="AH186" s="326">
        <v>0</v>
      </c>
      <c r="AI186" s="326">
        <v>0</v>
      </c>
      <c r="AJ186" s="326">
        <v>0</v>
      </c>
      <c r="AK186" s="626">
        <f t="shared" si="501"/>
        <v>0</v>
      </c>
      <c r="AL186" s="493">
        <f>I186+AD186</f>
        <v>3947046</v>
      </c>
      <c r="AM186" s="492">
        <f>J186+U186</f>
        <v>2928075</v>
      </c>
      <c r="AN186" s="492">
        <f t="shared" si="502"/>
        <v>0</v>
      </c>
      <c r="AO186" s="492">
        <f t="shared" si="503"/>
        <v>989690</v>
      </c>
      <c r="AP186" s="492">
        <f t="shared" si="503"/>
        <v>29281</v>
      </c>
      <c r="AQ186" s="492">
        <v>0</v>
      </c>
      <c r="AR186" s="491">
        <f t="shared" si="504"/>
        <v>4.2300000000000004</v>
      </c>
    </row>
    <row r="187" spans="1:44" s="152" customFormat="1" ht="12.75" customHeight="1" x14ac:dyDescent="0.2">
      <c r="A187" s="140">
        <v>42</v>
      </c>
      <c r="B187" s="141">
        <v>4489</v>
      </c>
      <c r="C187" s="141">
        <v>600075036</v>
      </c>
      <c r="D187" s="141">
        <v>72742607</v>
      </c>
      <c r="E187" s="139" t="s">
        <v>220</v>
      </c>
      <c r="F187" s="141">
        <v>3117</v>
      </c>
      <c r="G187" s="117" t="s">
        <v>278</v>
      </c>
      <c r="H187" s="565" t="s">
        <v>263</v>
      </c>
      <c r="I187" s="586">
        <f>SUM(J187:L187)</f>
        <v>0</v>
      </c>
      <c r="J187" s="490">
        <v>0</v>
      </c>
      <c r="K187" s="55">
        <f t="shared" si="492"/>
        <v>0</v>
      </c>
      <c r="L187" s="55">
        <f t="shared" si="493"/>
        <v>0</v>
      </c>
      <c r="M187" s="55">
        <v>0</v>
      </c>
      <c r="N187" s="631">
        <v>0</v>
      </c>
      <c r="O187" s="440">
        <f t="shared" si="494"/>
        <v>0</v>
      </c>
      <c r="P187" s="325">
        <v>673916</v>
      </c>
      <c r="Q187" s="325">
        <v>0</v>
      </c>
      <c r="R187" s="325">
        <v>0</v>
      </c>
      <c r="S187" s="325">
        <v>0</v>
      </c>
      <c r="T187" s="325">
        <v>0</v>
      </c>
      <c r="U187" s="492">
        <f t="shared" si="495"/>
        <v>673916</v>
      </c>
      <c r="V187" s="325">
        <v>0</v>
      </c>
      <c r="W187" s="325">
        <v>0</v>
      </c>
      <c r="X187" s="325">
        <v>0</v>
      </c>
      <c r="Y187" s="492">
        <f t="shared" si="496"/>
        <v>0</v>
      </c>
      <c r="Z187" s="492">
        <f t="shared" si="497"/>
        <v>673916</v>
      </c>
      <c r="AA187" s="494">
        <f t="shared" si="498"/>
        <v>227784</v>
      </c>
      <c r="AB187" s="494">
        <f t="shared" si="499"/>
        <v>6739</v>
      </c>
      <c r="AC187" s="492">
        <v>0</v>
      </c>
      <c r="AD187" s="789">
        <f t="shared" si="500"/>
        <v>908439</v>
      </c>
      <c r="AE187" s="715">
        <v>0</v>
      </c>
      <c r="AF187" s="326">
        <v>1.89</v>
      </c>
      <c r="AG187" s="326">
        <v>0</v>
      </c>
      <c r="AH187" s="326">
        <v>0</v>
      </c>
      <c r="AI187" s="326">
        <v>0</v>
      </c>
      <c r="AJ187" s="326">
        <v>0</v>
      </c>
      <c r="AK187" s="626">
        <f t="shared" si="501"/>
        <v>1.89</v>
      </c>
      <c r="AL187" s="493">
        <f>I187+AD187</f>
        <v>908439</v>
      </c>
      <c r="AM187" s="492">
        <f>J187+U187</f>
        <v>673916</v>
      </c>
      <c r="AN187" s="492">
        <f t="shared" si="502"/>
        <v>0</v>
      </c>
      <c r="AO187" s="492">
        <f t="shared" si="503"/>
        <v>227784</v>
      </c>
      <c r="AP187" s="492">
        <f t="shared" si="503"/>
        <v>6739</v>
      </c>
      <c r="AQ187" s="492">
        <v>0</v>
      </c>
      <c r="AR187" s="491">
        <f t="shared" si="504"/>
        <v>1.89</v>
      </c>
    </row>
    <row r="188" spans="1:44" s="152" customFormat="1" ht="12.75" customHeight="1" x14ac:dyDescent="0.2">
      <c r="A188" s="140">
        <v>42</v>
      </c>
      <c r="B188" s="141">
        <v>4489</v>
      </c>
      <c r="C188" s="141">
        <v>600075036</v>
      </c>
      <c r="D188" s="141">
        <v>72742607</v>
      </c>
      <c r="E188" s="139" t="s">
        <v>220</v>
      </c>
      <c r="F188" s="141">
        <v>3143</v>
      </c>
      <c r="G188" s="117" t="s">
        <v>794</v>
      </c>
      <c r="H188" s="157" t="s">
        <v>262</v>
      </c>
      <c r="I188" s="586">
        <f>SUM(J188:L188)</f>
        <v>1420023</v>
      </c>
      <c r="J188" s="490">
        <v>1053430</v>
      </c>
      <c r="K188" s="55">
        <f t="shared" si="492"/>
        <v>356059</v>
      </c>
      <c r="L188" s="55">
        <f t="shared" si="493"/>
        <v>10534</v>
      </c>
      <c r="M188" s="55">
        <v>0</v>
      </c>
      <c r="N188" s="631">
        <v>1.92</v>
      </c>
      <c r="O188" s="440">
        <f t="shared" si="494"/>
        <v>-6000</v>
      </c>
      <c r="P188" s="325">
        <v>0</v>
      </c>
      <c r="Q188" s="325">
        <v>0</v>
      </c>
      <c r="R188" s="325">
        <v>0</v>
      </c>
      <c r="S188" s="325">
        <v>0</v>
      </c>
      <c r="T188" s="325">
        <v>0</v>
      </c>
      <c r="U188" s="492">
        <f t="shared" si="495"/>
        <v>-6000</v>
      </c>
      <c r="V188" s="325">
        <v>6000</v>
      </c>
      <c r="W188" s="325">
        <v>0</v>
      </c>
      <c r="X188" s="325">
        <v>0</v>
      </c>
      <c r="Y188" s="492">
        <f t="shared" si="496"/>
        <v>6000</v>
      </c>
      <c r="Z188" s="492">
        <f t="shared" si="497"/>
        <v>0</v>
      </c>
      <c r="AA188" s="494">
        <f t="shared" si="498"/>
        <v>0</v>
      </c>
      <c r="AB188" s="494">
        <f t="shared" si="499"/>
        <v>-60</v>
      </c>
      <c r="AC188" s="492">
        <v>0</v>
      </c>
      <c r="AD188" s="789">
        <f t="shared" si="500"/>
        <v>-60</v>
      </c>
      <c r="AE188" s="715">
        <v>-0.01</v>
      </c>
      <c r="AF188" s="326">
        <v>0</v>
      </c>
      <c r="AG188" s="326">
        <v>0</v>
      </c>
      <c r="AH188" s="326">
        <v>0</v>
      </c>
      <c r="AI188" s="326">
        <v>0</v>
      </c>
      <c r="AJ188" s="326">
        <v>0</v>
      </c>
      <c r="AK188" s="626">
        <f t="shared" si="501"/>
        <v>-0.01</v>
      </c>
      <c r="AL188" s="493">
        <f>I188+AD188</f>
        <v>1419963</v>
      </c>
      <c r="AM188" s="492">
        <f>J188+U188</f>
        <v>1047430</v>
      </c>
      <c r="AN188" s="492">
        <f t="shared" si="502"/>
        <v>6000</v>
      </c>
      <c r="AO188" s="492">
        <f t="shared" si="503"/>
        <v>356059</v>
      </c>
      <c r="AP188" s="492">
        <f t="shared" si="503"/>
        <v>10474</v>
      </c>
      <c r="AQ188" s="492">
        <v>0</v>
      </c>
      <c r="AR188" s="491">
        <f t="shared" si="504"/>
        <v>1.91</v>
      </c>
    </row>
    <row r="189" spans="1:44" s="152" customFormat="1" ht="12.75" customHeight="1" x14ac:dyDescent="0.2">
      <c r="A189" s="107">
        <v>42</v>
      </c>
      <c r="B189" s="15">
        <v>4489</v>
      </c>
      <c r="C189" s="15">
        <v>600075036</v>
      </c>
      <c r="D189" s="15">
        <v>72742607</v>
      </c>
      <c r="E189" s="116" t="s">
        <v>221</v>
      </c>
      <c r="F189" s="15"/>
      <c r="G189" s="106"/>
      <c r="H189" s="560"/>
      <c r="I189" s="794">
        <f t="shared" ref="I189:AR189" si="505">SUM(I185:I188)</f>
        <v>8611833</v>
      </c>
      <c r="J189" s="343">
        <f t="shared" si="505"/>
        <v>6388600</v>
      </c>
      <c r="K189" s="343">
        <f t="shared" si="505"/>
        <v>2159347</v>
      </c>
      <c r="L189" s="343">
        <f t="shared" si="505"/>
        <v>63886</v>
      </c>
      <c r="M189" s="343">
        <f t="shared" si="505"/>
        <v>0</v>
      </c>
      <c r="N189" s="35">
        <f t="shared" si="505"/>
        <v>10.15</v>
      </c>
      <c r="O189" s="346">
        <f t="shared" si="505"/>
        <v>-6000</v>
      </c>
      <c r="P189" s="343">
        <f t="shared" si="505"/>
        <v>673916</v>
      </c>
      <c r="Q189" s="343">
        <f t="shared" si="505"/>
        <v>0</v>
      </c>
      <c r="R189" s="343">
        <f t="shared" si="505"/>
        <v>0</v>
      </c>
      <c r="S189" s="343">
        <f t="shared" si="505"/>
        <v>0</v>
      </c>
      <c r="T189" s="343">
        <f t="shared" si="505"/>
        <v>0</v>
      </c>
      <c r="U189" s="343">
        <f t="shared" si="505"/>
        <v>667916</v>
      </c>
      <c r="V189" s="343">
        <f t="shared" si="505"/>
        <v>6000</v>
      </c>
      <c r="W189" s="343">
        <f t="shared" si="505"/>
        <v>0</v>
      </c>
      <c r="X189" s="343">
        <f t="shared" si="505"/>
        <v>0</v>
      </c>
      <c r="Y189" s="343">
        <f t="shared" si="505"/>
        <v>6000</v>
      </c>
      <c r="Z189" s="343">
        <f t="shared" si="505"/>
        <v>673916</v>
      </c>
      <c r="AA189" s="343">
        <f t="shared" si="505"/>
        <v>227784</v>
      </c>
      <c r="AB189" s="343">
        <f t="shared" si="505"/>
        <v>6679</v>
      </c>
      <c r="AC189" s="343">
        <f t="shared" si="505"/>
        <v>0</v>
      </c>
      <c r="AD189" s="799">
        <f t="shared" si="505"/>
        <v>908379</v>
      </c>
      <c r="AE189" s="803">
        <f t="shared" si="505"/>
        <v>-0.01</v>
      </c>
      <c r="AF189" s="344">
        <f t="shared" si="505"/>
        <v>1.89</v>
      </c>
      <c r="AG189" s="344">
        <f t="shared" si="505"/>
        <v>0</v>
      </c>
      <c r="AH189" s="344">
        <f t="shared" si="505"/>
        <v>0</v>
      </c>
      <c r="AI189" s="344">
        <f t="shared" si="505"/>
        <v>0</v>
      </c>
      <c r="AJ189" s="344">
        <f t="shared" si="505"/>
        <v>0</v>
      </c>
      <c r="AK189" s="35">
        <f t="shared" si="505"/>
        <v>1.88</v>
      </c>
      <c r="AL189" s="346">
        <f t="shared" si="505"/>
        <v>9520212</v>
      </c>
      <c r="AM189" s="343">
        <f t="shared" si="505"/>
        <v>7056516</v>
      </c>
      <c r="AN189" s="343">
        <f t="shared" si="505"/>
        <v>6000</v>
      </c>
      <c r="AO189" s="343">
        <f t="shared" si="505"/>
        <v>2387131</v>
      </c>
      <c r="AP189" s="343">
        <f t="shared" si="505"/>
        <v>70565</v>
      </c>
      <c r="AQ189" s="343">
        <f t="shared" si="505"/>
        <v>0</v>
      </c>
      <c r="AR189" s="344">
        <f t="shared" si="505"/>
        <v>12.030000000000001</v>
      </c>
    </row>
    <row r="190" spans="1:44" s="152" customFormat="1" ht="12.75" customHeight="1" x14ac:dyDescent="0.2">
      <c r="A190" s="140">
        <v>43</v>
      </c>
      <c r="B190" s="141">
        <v>4426</v>
      </c>
      <c r="C190" s="141">
        <v>600074129</v>
      </c>
      <c r="D190" s="141">
        <v>72742160</v>
      </c>
      <c r="E190" s="139" t="s">
        <v>222</v>
      </c>
      <c r="F190" s="141">
        <v>3111</v>
      </c>
      <c r="G190" s="117" t="s">
        <v>277</v>
      </c>
      <c r="H190" s="565" t="s">
        <v>262</v>
      </c>
      <c r="I190" s="586">
        <f>SUM(J190:L190)</f>
        <v>3212407</v>
      </c>
      <c r="J190" s="490">
        <v>2383091</v>
      </c>
      <c r="K190" s="55">
        <f t="shared" ref="K190:K191" si="506">ROUND(J190*33.8%,0)</f>
        <v>805485</v>
      </c>
      <c r="L190" s="55">
        <f t="shared" ref="L190:L191" si="507">ROUND(J190*1%,0)</f>
        <v>23831</v>
      </c>
      <c r="M190" s="55">
        <v>0</v>
      </c>
      <c r="N190" s="631">
        <v>4</v>
      </c>
      <c r="O190" s="445">
        <f>V190*-1</f>
        <v>0</v>
      </c>
      <c r="P190" s="325">
        <v>0</v>
      </c>
      <c r="Q190" s="325">
        <v>0</v>
      </c>
      <c r="R190" s="325">
        <v>0</v>
      </c>
      <c r="S190" s="325">
        <v>0</v>
      </c>
      <c r="T190" s="325">
        <v>0</v>
      </c>
      <c r="U190" s="492">
        <f t="shared" ref="U190:U191" si="508">O190+P190+Q190+R190+S190+T190</f>
        <v>0</v>
      </c>
      <c r="V190" s="325">
        <v>0</v>
      </c>
      <c r="W190" s="325">
        <v>0</v>
      </c>
      <c r="X190" s="325">
        <v>0</v>
      </c>
      <c r="Y190" s="492">
        <f t="shared" ref="Y190:Y191" si="509">V190+W190+X190</f>
        <v>0</v>
      </c>
      <c r="Z190" s="492">
        <f t="shared" ref="Z190:Z191" si="510">U190+Y190</f>
        <v>0</v>
      </c>
      <c r="AA190" s="494">
        <f t="shared" ref="AA190:AA191" si="511">ROUND((U190+Y190)*33.8%,0)</f>
        <v>0</v>
      </c>
      <c r="AB190" s="494">
        <f t="shared" ref="AB190:AB191" si="512">ROUND(U190*1%,0)</f>
        <v>0</v>
      </c>
      <c r="AC190" s="492">
        <v>0</v>
      </c>
      <c r="AD190" s="789">
        <f t="shared" ref="AD190:AD191" si="513">Z190+AA190+AB190+AC190</f>
        <v>0</v>
      </c>
      <c r="AE190" s="715">
        <v>0</v>
      </c>
      <c r="AF190" s="326">
        <v>0</v>
      </c>
      <c r="AG190" s="326">
        <v>0</v>
      </c>
      <c r="AH190" s="326">
        <v>0</v>
      </c>
      <c r="AI190" s="326">
        <v>0</v>
      </c>
      <c r="AJ190" s="326">
        <v>0</v>
      </c>
      <c r="AK190" s="626">
        <f t="shared" ref="AK190:AK191" si="514">SUM(AE190:AJ190)</f>
        <v>0</v>
      </c>
      <c r="AL190" s="493">
        <f>I190+AD190</f>
        <v>3212407</v>
      </c>
      <c r="AM190" s="492">
        <f>J190+U190</f>
        <v>2383091</v>
      </c>
      <c r="AN190" s="492">
        <f t="shared" ref="AN190:AN191" si="515">Y190</f>
        <v>0</v>
      </c>
      <c r="AO190" s="492">
        <f>K190+AA190</f>
        <v>805485</v>
      </c>
      <c r="AP190" s="492">
        <f>L190+AB190</f>
        <v>23831</v>
      </c>
      <c r="AQ190" s="492">
        <v>0</v>
      </c>
      <c r="AR190" s="491">
        <f t="shared" ref="AR190:AR191" si="516">N190+AK190</f>
        <v>4</v>
      </c>
    </row>
    <row r="191" spans="1:44" s="152" customFormat="1" ht="12.75" customHeight="1" x14ac:dyDescent="0.2">
      <c r="A191" s="140">
        <v>43</v>
      </c>
      <c r="B191" s="141">
        <v>4426</v>
      </c>
      <c r="C191" s="141">
        <v>600074129</v>
      </c>
      <c r="D191" s="141">
        <v>72742160</v>
      </c>
      <c r="E191" s="139" t="s">
        <v>222</v>
      </c>
      <c r="F191" s="141">
        <v>3111</v>
      </c>
      <c r="G191" s="117" t="s">
        <v>278</v>
      </c>
      <c r="H191" s="565" t="s">
        <v>263</v>
      </c>
      <c r="I191" s="586">
        <f>SUM(J191:L191)</f>
        <v>0</v>
      </c>
      <c r="J191" s="490">
        <v>0</v>
      </c>
      <c r="K191" s="55">
        <f t="shared" si="506"/>
        <v>0</v>
      </c>
      <c r="L191" s="55">
        <f t="shared" si="507"/>
        <v>0</v>
      </c>
      <c r="M191" s="55">
        <v>0</v>
      </c>
      <c r="N191" s="631">
        <v>0</v>
      </c>
      <c r="O191" s="440">
        <f>V191*-1</f>
        <v>0</v>
      </c>
      <c r="P191" s="325">
        <v>297636</v>
      </c>
      <c r="Q191" s="325">
        <v>0</v>
      </c>
      <c r="R191" s="325">
        <v>0</v>
      </c>
      <c r="S191" s="325">
        <v>0</v>
      </c>
      <c r="T191" s="325">
        <v>0</v>
      </c>
      <c r="U191" s="492">
        <f t="shared" si="508"/>
        <v>297636</v>
      </c>
      <c r="V191" s="325">
        <v>0</v>
      </c>
      <c r="W191" s="325">
        <v>0</v>
      </c>
      <c r="X191" s="325">
        <v>0</v>
      </c>
      <c r="Y191" s="492">
        <f t="shared" si="509"/>
        <v>0</v>
      </c>
      <c r="Z191" s="492">
        <f t="shared" si="510"/>
        <v>297636</v>
      </c>
      <c r="AA191" s="494">
        <f t="shared" si="511"/>
        <v>100601</v>
      </c>
      <c r="AB191" s="494">
        <f t="shared" si="512"/>
        <v>2976</v>
      </c>
      <c r="AC191" s="492">
        <v>0</v>
      </c>
      <c r="AD191" s="789">
        <f t="shared" si="513"/>
        <v>401213</v>
      </c>
      <c r="AE191" s="715">
        <v>0</v>
      </c>
      <c r="AF191" s="326">
        <v>0.75</v>
      </c>
      <c r="AG191" s="326">
        <v>0</v>
      </c>
      <c r="AH191" s="326">
        <v>0</v>
      </c>
      <c r="AI191" s="326">
        <v>0</v>
      </c>
      <c r="AJ191" s="326">
        <v>0</v>
      </c>
      <c r="AK191" s="626">
        <f t="shared" si="514"/>
        <v>0.75</v>
      </c>
      <c r="AL191" s="493">
        <f>I191+AD191</f>
        <v>401213</v>
      </c>
      <c r="AM191" s="492">
        <f>J191+U191</f>
        <v>297636</v>
      </c>
      <c r="AN191" s="492">
        <f t="shared" si="515"/>
        <v>0</v>
      </c>
      <c r="AO191" s="492">
        <f>K191+AA191</f>
        <v>100601</v>
      </c>
      <c r="AP191" s="492">
        <f>L191+AB191</f>
        <v>2976</v>
      </c>
      <c r="AQ191" s="492">
        <v>0</v>
      </c>
      <c r="AR191" s="491">
        <f t="shared" si="516"/>
        <v>0.75</v>
      </c>
    </row>
    <row r="192" spans="1:44" s="152" customFormat="1" ht="12.75" customHeight="1" x14ac:dyDescent="0.2">
      <c r="A192" s="107">
        <v>43</v>
      </c>
      <c r="B192" s="15">
        <v>4426</v>
      </c>
      <c r="C192" s="15">
        <v>600074129</v>
      </c>
      <c r="D192" s="15">
        <v>72742160</v>
      </c>
      <c r="E192" s="116" t="s">
        <v>223</v>
      </c>
      <c r="F192" s="15"/>
      <c r="G192" s="106"/>
      <c r="H192" s="560"/>
      <c r="I192" s="793">
        <f t="shared" ref="I192:AR192" si="517">SUM(I190:I191)</f>
        <v>3212407</v>
      </c>
      <c r="J192" s="341">
        <f t="shared" si="517"/>
        <v>2383091</v>
      </c>
      <c r="K192" s="341">
        <f t="shared" si="517"/>
        <v>805485</v>
      </c>
      <c r="L192" s="341">
        <f t="shared" si="517"/>
        <v>23831</v>
      </c>
      <c r="M192" s="341">
        <f t="shared" si="517"/>
        <v>0</v>
      </c>
      <c r="N192" s="36">
        <f t="shared" si="517"/>
        <v>4</v>
      </c>
      <c r="O192" s="345">
        <f t="shared" si="517"/>
        <v>0</v>
      </c>
      <c r="P192" s="341">
        <f t="shared" si="517"/>
        <v>297636</v>
      </c>
      <c r="Q192" s="341">
        <f t="shared" si="517"/>
        <v>0</v>
      </c>
      <c r="R192" s="341">
        <f t="shared" si="517"/>
        <v>0</v>
      </c>
      <c r="S192" s="341">
        <f t="shared" si="517"/>
        <v>0</v>
      </c>
      <c r="T192" s="341">
        <f t="shared" si="517"/>
        <v>0</v>
      </c>
      <c r="U192" s="341">
        <f t="shared" si="517"/>
        <v>297636</v>
      </c>
      <c r="V192" s="341">
        <f t="shared" si="517"/>
        <v>0</v>
      </c>
      <c r="W192" s="341">
        <f t="shared" si="517"/>
        <v>0</v>
      </c>
      <c r="X192" s="341">
        <f t="shared" si="517"/>
        <v>0</v>
      </c>
      <c r="Y192" s="341">
        <f t="shared" si="517"/>
        <v>0</v>
      </c>
      <c r="Z192" s="341">
        <f t="shared" si="517"/>
        <v>297636</v>
      </c>
      <c r="AA192" s="341">
        <f t="shared" si="517"/>
        <v>100601</v>
      </c>
      <c r="AB192" s="341">
        <f t="shared" si="517"/>
        <v>2976</v>
      </c>
      <c r="AC192" s="341">
        <f t="shared" si="517"/>
        <v>0</v>
      </c>
      <c r="AD192" s="798">
        <f t="shared" si="517"/>
        <v>401213</v>
      </c>
      <c r="AE192" s="802">
        <f t="shared" si="517"/>
        <v>0</v>
      </c>
      <c r="AF192" s="342">
        <f t="shared" si="517"/>
        <v>0.75</v>
      </c>
      <c r="AG192" s="342">
        <f t="shared" si="517"/>
        <v>0</v>
      </c>
      <c r="AH192" s="342">
        <f t="shared" si="517"/>
        <v>0</v>
      </c>
      <c r="AI192" s="342">
        <f t="shared" si="517"/>
        <v>0</v>
      </c>
      <c r="AJ192" s="342">
        <f t="shared" si="517"/>
        <v>0</v>
      </c>
      <c r="AK192" s="36">
        <f t="shared" si="517"/>
        <v>0.75</v>
      </c>
      <c r="AL192" s="345">
        <f t="shared" si="517"/>
        <v>3613620</v>
      </c>
      <c r="AM192" s="341">
        <f t="shared" si="517"/>
        <v>2680727</v>
      </c>
      <c r="AN192" s="341">
        <f t="shared" si="517"/>
        <v>0</v>
      </c>
      <c r="AO192" s="341">
        <f t="shared" si="517"/>
        <v>906086</v>
      </c>
      <c r="AP192" s="341">
        <f t="shared" si="517"/>
        <v>26807</v>
      </c>
      <c r="AQ192" s="341">
        <f t="shared" si="517"/>
        <v>0</v>
      </c>
      <c r="AR192" s="342">
        <f t="shared" si="517"/>
        <v>4.75</v>
      </c>
    </row>
    <row r="193" spans="1:44" s="152" customFormat="1" ht="12.75" customHeight="1" x14ac:dyDescent="0.2">
      <c r="A193" s="140">
        <v>44</v>
      </c>
      <c r="B193" s="141">
        <v>4461</v>
      </c>
      <c r="C193" s="141">
        <v>600074765</v>
      </c>
      <c r="D193" s="141">
        <v>46750088</v>
      </c>
      <c r="E193" s="139" t="s">
        <v>224</v>
      </c>
      <c r="F193" s="141">
        <v>3111</v>
      </c>
      <c r="G193" s="117" t="s">
        <v>277</v>
      </c>
      <c r="H193" s="565" t="s">
        <v>262</v>
      </c>
      <c r="I193" s="586">
        <f>SUM(J193:L193)</f>
        <v>9326568</v>
      </c>
      <c r="J193" s="490">
        <v>6918819</v>
      </c>
      <c r="K193" s="55">
        <f t="shared" ref="K193:K196" si="518">ROUND(J193*33.8%,0)</f>
        <v>2338561</v>
      </c>
      <c r="L193" s="55">
        <f t="shared" ref="L193:L196" si="519">ROUND(J193*1%,0)</f>
        <v>69188</v>
      </c>
      <c r="M193" s="55">
        <v>0</v>
      </c>
      <c r="N193" s="631">
        <v>11.67</v>
      </c>
      <c r="O193" s="445">
        <f t="shared" ref="O193:O196" si="520">V193*-1</f>
        <v>-24000</v>
      </c>
      <c r="P193" s="325">
        <v>0</v>
      </c>
      <c r="Q193" s="325">
        <v>0</v>
      </c>
      <c r="R193" s="325">
        <v>0</v>
      </c>
      <c r="S193" s="325">
        <v>0</v>
      </c>
      <c r="T193" s="325">
        <v>0</v>
      </c>
      <c r="U193" s="492">
        <f t="shared" ref="U193:U196" si="521">O193+P193+Q193+R193+S193+T193</f>
        <v>-24000</v>
      </c>
      <c r="V193" s="325">
        <v>24000</v>
      </c>
      <c r="W193" s="325">
        <v>0</v>
      </c>
      <c r="X193" s="325">
        <v>0</v>
      </c>
      <c r="Y193" s="492">
        <f t="shared" ref="Y193:Y196" si="522">V193+W193+X193</f>
        <v>24000</v>
      </c>
      <c r="Z193" s="492">
        <f t="shared" ref="Z193:Z196" si="523">U193+Y193</f>
        <v>0</v>
      </c>
      <c r="AA193" s="494">
        <f t="shared" ref="AA193:AA196" si="524">ROUND((U193+Y193)*33.8%,0)</f>
        <v>0</v>
      </c>
      <c r="AB193" s="494">
        <f t="shared" ref="AB193:AB196" si="525">ROUND(U193*1%,0)</f>
        <v>-240</v>
      </c>
      <c r="AC193" s="492">
        <v>0</v>
      </c>
      <c r="AD193" s="789">
        <f t="shared" ref="AD193:AD196" si="526">Z193+AA193+AB193+AC193</f>
        <v>-240</v>
      </c>
      <c r="AE193" s="715">
        <v>-0.05</v>
      </c>
      <c r="AF193" s="326">
        <v>0</v>
      </c>
      <c r="AG193" s="326">
        <v>0</v>
      </c>
      <c r="AH193" s="326">
        <v>0</v>
      </c>
      <c r="AI193" s="326">
        <v>0</v>
      </c>
      <c r="AJ193" s="326">
        <v>0</v>
      </c>
      <c r="AK193" s="626">
        <f t="shared" ref="AK193:AK196" si="527">SUM(AE193:AJ193)</f>
        <v>-0.05</v>
      </c>
      <c r="AL193" s="493">
        <f>I193+AD193</f>
        <v>9326328</v>
      </c>
      <c r="AM193" s="492">
        <f>J193+U193</f>
        <v>6894819</v>
      </c>
      <c r="AN193" s="492">
        <f t="shared" ref="AN193:AN196" si="528">Y193</f>
        <v>24000</v>
      </c>
      <c r="AO193" s="492">
        <f t="shared" ref="AO193:AP196" si="529">K193+AA193</f>
        <v>2338561</v>
      </c>
      <c r="AP193" s="492">
        <f t="shared" si="529"/>
        <v>68948</v>
      </c>
      <c r="AQ193" s="492">
        <v>0</v>
      </c>
      <c r="AR193" s="491">
        <f t="shared" ref="AR193:AR196" si="530">N193+AK193</f>
        <v>11.62</v>
      </c>
    </row>
    <row r="194" spans="1:44" s="152" customFormat="1" ht="12.75" customHeight="1" x14ac:dyDescent="0.2">
      <c r="A194" s="140">
        <v>44</v>
      </c>
      <c r="B194" s="141">
        <v>4461</v>
      </c>
      <c r="C194" s="141">
        <v>600074765</v>
      </c>
      <c r="D194" s="141">
        <v>46750088</v>
      </c>
      <c r="E194" s="139" t="s">
        <v>224</v>
      </c>
      <c r="F194" s="141">
        <v>3113</v>
      </c>
      <c r="G194" s="117" t="s">
        <v>280</v>
      </c>
      <c r="H194" s="565" t="s">
        <v>262</v>
      </c>
      <c r="I194" s="586">
        <f>SUM(J194:L194)</f>
        <v>27194354</v>
      </c>
      <c r="J194" s="490">
        <v>20173853</v>
      </c>
      <c r="K194" s="55">
        <f t="shared" si="518"/>
        <v>6818762</v>
      </c>
      <c r="L194" s="55">
        <f t="shared" si="519"/>
        <v>201739</v>
      </c>
      <c r="M194" s="55">
        <v>0</v>
      </c>
      <c r="N194" s="631">
        <v>27.68</v>
      </c>
      <c r="O194" s="440">
        <f t="shared" si="520"/>
        <v>-57000</v>
      </c>
      <c r="P194" s="325">
        <v>0</v>
      </c>
      <c r="Q194" s="325">
        <v>15985</v>
      </c>
      <c r="R194" s="325">
        <v>0</v>
      </c>
      <c r="S194" s="325">
        <v>0</v>
      </c>
      <c r="T194" s="325">
        <v>0</v>
      </c>
      <c r="U194" s="492">
        <f t="shared" si="521"/>
        <v>-41015</v>
      </c>
      <c r="V194" s="325">
        <v>57000</v>
      </c>
      <c r="W194" s="325">
        <v>0</v>
      </c>
      <c r="X194" s="325">
        <v>0</v>
      </c>
      <c r="Y194" s="492">
        <f t="shared" si="522"/>
        <v>57000</v>
      </c>
      <c r="Z194" s="492">
        <f t="shared" si="523"/>
        <v>15985</v>
      </c>
      <c r="AA194" s="494">
        <f t="shared" si="524"/>
        <v>5403</v>
      </c>
      <c r="AB194" s="494">
        <f t="shared" si="525"/>
        <v>-410</v>
      </c>
      <c r="AC194" s="492">
        <v>0</v>
      </c>
      <c r="AD194" s="789">
        <f t="shared" si="526"/>
        <v>20978</v>
      </c>
      <c r="AE194" s="715">
        <v>-7.0000000000000007E-2</v>
      </c>
      <c r="AF194" s="326">
        <v>0</v>
      </c>
      <c r="AG194" s="326">
        <v>0</v>
      </c>
      <c r="AH194" s="326">
        <v>0.02</v>
      </c>
      <c r="AI194" s="326">
        <v>0</v>
      </c>
      <c r="AJ194" s="326">
        <v>0</v>
      </c>
      <c r="AK194" s="626">
        <f t="shared" si="527"/>
        <v>-0.05</v>
      </c>
      <c r="AL194" s="493">
        <f>I194+AD194</f>
        <v>27215332</v>
      </c>
      <c r="AM194" s="492">
        <f>J194+U194</f>
        <v>20132838</v>
      </c>
      <c r="AN194" s="492">
        <f t="shared" si="528"/>
        <v>57000</v>
      </c>
      <c r="AO194" s="492">
        <f t="shared" si="529"/>
        <v>6824165</v>
      </c>
      <c r="AP194" s="492">
        <f t="shared" si="529"/>
        <v>201329</v>
      </c>
      <c r="AQ194" s="492">
        <v>0</v>
      </c>
      <c r="AR194" s="491">
        <f t="shared" si="530"/>
        <v>27.63</v>
      </c>
    </row>
    <row r="195" spans="1:44" s="152" customFormat="1" ht="12.75" customHeight="1" x14ac:dyDescent="0.2">
      <c r="A195" s="140">
        <v>44</v>
      </c>
      <c r="B195" s="141">
        <v>4461</v>
      </c>
      <c r="C195" s="141">
        <v>600074765</v>
      </c>
      <c r="D195" s="141">
        <v>46750088</v>
      </c>
      <c r="E195" s="139" t="s">
        <v>224</v>
      </c>
      <c r="F195" s="141">
        <v>3113</v>
      </c>
      <c r="G195" s="117" t="s">
        <v>278</v>
      </c>
      <c r="H195" s="565" t="s">
        <v>263</v>
      </c>
      <c r="I195" s="586">
        <f>SUM(J195:L195)</f>
        <v>0</v>
      </c>
      <c r="J195" s="490">
        <v>0</v>
      </c>
      <c r="K195" s="55">
        <f t="shared" si="518"/>
        <v>0</v>
      </c>
      <c r="L195" s="55">
        <f t="shared" si="519"/>
        <v>0</v>
      </c>
      <c r="M195" s="55">
        <v>0</v>
      </c>
      <c r="N195" s="631">
        <v>0</v>
      </c>
      <c r="O195" s="440">
        <f t="shared" si="520"/>
        <v>0</v>
      </c>
      <c r="P195" s="325">
        <v>2204726</v>
      </c>
      <c r="Q195" s="325">
        <v>0</v>
      </c>
      <c r="R195" s="325">
        <v>0</v>
      </c>
      <c r="S195" s="325">
        <v>0</v>
      </c>
      <c r="T195" s="325">
        <v>0</v>
      </c>
      <c r="U195" s="492">
        <f t="shared" si="521"/>
        <v>2204726</v>
      </c>
      <c r="V195" s="325">
        <v>0</v>
      </c>
      <c r="W195" s="325">
        <v>0</v>
      </c>
      <c r="X195" s="325">
        <v>0</v>
      </c>
      <c r="Y195" s="492">
        <f t="shared" si="522"/>
        <v>0</v>
      </c>
      <c r="Z195" s="492">
        <f t="shared" si="523"/>
        <v>2204726</v>
      </c>
      <c r="AA195" s="494">
        <f t="shared" si="524"/>
        <v>745197</v>
      </c>
      <c r="AB195" s="494">
        <f t="shared" si="525"/>
        <v>22047</v>
      </c>
      <c r="AC195" s="492">
        <v>0</v>
      </c>
      <c r="AD195" s="789">
        <f t="shared" si="526"/>
        <v>2971970</v>
      </c>
      <c r="AE195" s="715">
        <v>0</v>
      </c>
      <c r="AF195" s="326">
        <v>5.56</v>
      </c>
      <c r="AG195" s="326">
        <v>0</v>
      </c>
      <c r="AH195" s="326">
        <v>0</v>
      </c>
      <c r="AI195" s="326">
        <v>0</v>
      </c>
      <c r="AJ195" s="326">
        <v>0</v>
      </c>
      <c r="AK195" s="626">
        <f t="shared" si="527"/>
        <v>5.56</v>
      </c>
      <c r="AL195" s="493">
        <f>I195+AD195</f>
        <v>2971970</v>
      </c>
      <c r="AM195" s="492">
        <f>J195+U195</f>
        <v>2204726</v>
      </c>
      <c r="AN195" s="492">
        <f t="shared" si="528"/>
        <v>0</v>
      </c>
      <c r="AO195" s="492">
        <f t="shared" si="529"/>
        <v>745197</v>
      </c>
      <c r="AP195" s="492">
        <f t="shared" si="529"/>
        <v>22047</v>
      </c>
      <c r="AQ195" s="492">
        <v>0</v>
      </c>
      <c r="AR195" s="491">
        <f t="shared" si="530"/>
        <v>5.56</v>
      </c>
    </row>
    <row r="196" spans="1:44" s="152" customFormat="1" ht="12.75" customHeight="1" x14ac:dyDescent="0.2">
      <c r="A196" s="140">
        <v>44</v>
      </c>
      <c r="B196" s="141">
        <v>4461</v>
      </c>
      <c r="C196" s="141">
        <v>600074765</v>
      </c>
      <c r="D196" s="141">
        <v>46750088</v>
      </c>
      <c r="E196" s="139" t="s">
        <v>224</v>
      </c>
      <c r="F196" s="141">
        <v>3143</v>
      </c>
      <c r="G196" s="117" t="s">
        <v>795</v>
      </c>
      <c r="H196" s="157" t="s">
        <v>262</v>
      </c>
      <c r="I196" s="586">
        <f>SUM(J196:L196)</f>
        <v>2387419</v>
      </c>
      <c r="J196" s="490">
        <v>1771082</v>
      </c>
      <c r="K196" s="55">
        <f t="shared" si="518"/>
        <v>598626</v>
      </c>
      <c r="L196" s="55">
        <f t="shared" si="519"/>
        <v>17711</v>
      </c>
      <c r="M196" s="55">
        <v>0</v>
      </c>
      <c r="N196" s="631">
        <v>3.32</v>
      </c>
      <c r="O196" s="440">
        <f t="shared" si="520"/>
        <v>-18000</v>
      </c>
      <c r="P196" s="325">
        <v>0</v>
      </c>
      <c r="Q196" s="325">
        <v>0</v>
      </c>
      <c r="R196" s="325">
        <v>0</v>
      </c>
      <c r="S196" s="325">
        <v>0</v>
      </c>
      <c r="T196" s="325">
        <v>0</v>
      </c>
      <c r="U196" s="492">
        <f t="shared" si="521"/>
        <v>-18000</v>
      </c>
      <c r="V196" s="325">
        <v>18000</v>
      </c>
      <c r="W196" s="325">
        <v>0</v>
      </c>
      <c r="X196" s="325">
        <v>0</v>
      </c>
      <c r="Y196" s="492">
        <f t="shared" si="522"/>
        <v>18000</v>
      </c>
      <c r="Z196" s="492">
        <f t="shared" si="523"/>
        <v>0</v>
      </c>
      <c r="AA196" s="494">
        <f t="shared" si="524"/>
        <v>0</v>
      </c>
      <c r="AB196" s="494">
        <f t="shared" si="525"/>
        <v>-180</v>
      </c>
      <c r="AC196" s="492">
        <v>0</v>
      </c>
      <c r="AD196" s="789">
        <f t="shared" si="526"/>
        <v>-180</v>
      </c>
      <c r="AE196" s="715">
        <v>0</v>
      </c>
      <c r="AF196" s="326">
        <v>0</v>
      </c>
      <c r="AG196" s="326">
        <v>0</v>
      </c>
      <c r="AH196" s="326">
        <v>0</v>
      </c>
      <c r="AI196" s="326">
        <v>0</v>
      </c>
      <c r="AJ196" s="326">
        <v>0</v>
      </c>
      <c r="AK196" s="626">
        <f t="shared" si="527"/>
        <v>0</v>
      </c>
      <c r="AL196" s="493">
        <f>I196+AD196</f>
        <v>2387239</v>
      </c>
      <c r="AM196" s="492">
        <f>J196+U196</f>
        <v>1753082</v>
      </c>
      <c r="AN196" s="492">
        <f t="shared" si="528"/>
        <v>18000</v>
      </c>
      <c r="AO196" s="492">
        <f t="shared" si="529"/>
        <v>598626</v>
      </c>
      <c r="AP196" s="492">
        <f t="shared" si="529"/>
        <v>17531</v>
      </c>
      <c r="AQ196" s="492">
        <v>0</v>
      </c>
      <c r="AR196" s="491">
        <f t="shared" si="530"/>
        <v>3.32</v>
      </c>
    </row>
    <row r="197" spans="1:44" s="152" customFormat="1" ht="12.75" customHeight="1" x14ac:dyDescent="0.2">
      <c r="A197" s="107">
        <v>44</v>
      </c>
      <c r="B197" s="15">
        <v>4461</v>
      </c>
      <c r="C197" s="15">
        <v>600074765</v>
      </c>
      <c r="D197" s="15">
        <v>46750088</v>
      </c>
      <c r="E197" s="116" t="s">
        <v>225</v>
      </c>
      <c r="F197" s="15"/>
      <c r="G197" s="106"/>
      <c r="H197" s="560"/>
      <c r="I197" s="794">
        <f t="shared" ref="I197:AR197" si="531">SUM(I193:I196)</f>
        <v>38908341</v>
      </c>
      <c r="J197" s="343">
        <f t="shared" si="531"/>
        <v>28863754</v>
      </c>
      <c r="K197" s="343">
        <f t="shared" si="531"/>
        <v>9755949</v>
      </c>
      <c r="L197" s="343">
        <f t="shared" si="531"/>
        <v>288638</v>
      </c>
      <c r="M197" s="343">
        <f t="shared" si="531"/>
        <v>0</v>
      </c>
      <c r="N197" s="35">
        <f t="shared" si="531"/>
        <v>42.67</v>
      </c>
      <c r="O197" s="346">
        <f t="shared" si="531"/>
        <v>-99000</v>
      </c>
      <c r="P197" s="343">
        <f t="shared" si="531"/>
        <v>2204726</v>
      </c>
      <c r="Q197" s="343">
        <f t="shared" si="531"/>
        <v>15985</v>
      </c>
      <c r="R197" s="343">
        <f t="shared" si="531"/>
        <v>0</v>
      </c>
      <c r="S197" s="343">
        <f t="shared" si="531"/>
        <v>0</v>
      </c>
      <c r="T197" s="343">
        <f t="shared" si="531"/>
        <v>0</v>
      </c>
      <c r="U197" s="343">
        <f t="shared" si="531"/>
        <v>2121711</v>
      </c>
      <c r="V197" s="343">
        <f t="shared" si="531"/>
        <v>99000</v>
      </c>
      <c r="W197" s="343">
        <f t="shared" si="531"/>
        <v>0</v>
      </c>
      <c r="X197" s="343">
        <f t="shared" si="531"/>
        <v>0</v>
      </c>
      <c r="Y197" s="343">
        <f t="shared" si="531"/>
        <v>99000</v>
      </c>
      <c r="Z197" s="343">
        <f t="shared" si="531"/>
        <v>2220711</v>
      </c>
      <c r="AA197" s="343">
        <f t="shared" si="531"/>
        <v>750600</v>
      </c>
      <c r="AB197" s="343">
        <f t="shared" si="531"/>
        <v>21217</v>
      </c>
      <c r="AC197" s="343">
        <f t="shared" si="531"/>
        <v>0</v>
      </c>
      <c r="AD197" s="799">
        <f t="shared" si="531"/>
        <v>2992528</v>
      </c>
      <c r="AE197" s="803">
        <f t="shared" si="531"/>
        <v>-0.12000000000000001</v>
      </c>
      <c r="AF197" s="344">
        <f t="shared" si="531"/>
        <v>5.56</v>
      </c>
      <c r="AG197" s="344">
        <f t="shared" si="531"/>
        <v>0</v>
      </c>
      <c r="AH197" s="344">
        <f t="shared" si="531"/>
        <v>0.02</v>
      </c>
      <c r="AI197" s="344">
        <f t="shared" si="531"/>
        <v>0</v>
      </c>
      <c r="AJ197" s="344">
        <f t="shared" si="531"/>
        <v>0</v>
      </c>
      <c r="AK197" s="35">
        <f t="shared" si="531"/>
        <v>5.46</v>
      </c>
      <c r="AL197" s="346">
        <f t="shared" si="531"/>
        <v>41900869</v>
      </c>
      <c r="AM197" s="343">
        <f t="shared" si="531"/>
        <v>30985465</v>
      </c>
      <c r="AN197" s="343">
        <f t="shared" si="531"/>
        <v>99000</v>
      </c>
      <c r="AO197" s="343">
        <f t="shared" si="531"/>
        <v>10506549</v>
      </c>
      <c r="AP197" s="343">
        <f t="shared" si="531"/>
        <v>309855</v>
      </c>
      <c r="AQ197" s="343">
        <f t="shared" si="531"/>
        <v>0</v>
      </c>
      <c r="AR197" s="344">
        <f t="shared" si="531"/>
        <v>48.13</v>
      </c>
    </row>
    <row r="198" spans="1:44" s="152" customFormat="1" ht="12.75" customHeight="1" x14ac:dyDescent="0.2">
      <c r="A198" s="140">
        <v>45</v>
      </c>
      <c r="B198" s="141">
        <v>4427</v>
      </c>
      <c r="C198" s="141">
        <v>600074188</v>
      </c>
      <c r="D198" s="141">
        <v>70982678</v>
      </c>
      <c r="E198" s="139" t="s">
        <v>760</v>
      </c>
      <c r="F198" s="141">
        <v>3111</v>
      </c>
      <c r="G198" s="117" t="s">
        <v>277</v>
      </c>
      <c r="H198" s="565" t="s">
        <v>262</v>
      </c>
      <c r="I198" s="586">
        <f>SUM(J198:L198)</f>
        <v>3719006</v>
      </c>
      <c r="J198" s="490">
        <v>2758906</v>
      </c>
      <c r="K198" s="55">
        <f>ROUND(J198*33.8%,0)+1</f>
        <v>932511</v>
      </c>
      <c r="L198" s="55">
        <f t="shared" ref="L198:L201" si="532">ROUND(J198*1%,0)</f>
        <v>27589</v>
      </c>
      <c r="M198" s="55">
        <v>0</v>
      </c>
      <c r="N198" s="631">
        <v>4.4800000000000004</v>
      </c>
      <c r="O198" s="445">
        <f t="shared" ref="O198:O201" si="533">V198*-1</f>
        <v>0</v>
      </c>
      <c r="P198" s="325">
        <v>0</v>
      </c>
      <c r="Q198" s="325">
        <v>0</v>
      </c>
      <c r="R198" s="325">
        <v>0</v>
      </c>
      <c r="S198" s="325">
        <v>0</v>
      </c>
      <c r="T198" s="325">
        <v>0</v>
      </c>
      <c r="U198" s="492">
        <f t="shared" ref="U198:U201" si="534">O198+P198+Q198+R198+S198+T198</f>
        <v>0</v>
      </c>
      <c r="V198" s="325">
        <v>0</v>
      </c>
      <c r="W198" s="325">
        <v>0</v>
      </c>
      <c r="X198" s="325">
        <v>0</v>
      </c>
      <c r="Y198" s="492">
        <f t="shared" ref="Y198:Y201" si="535">V198+W198+X198</f>
        <v>0</v>
      </c>
      <c r="Z198" s="492">
        <f t="shared" ref="Z198:Z201" si="536">U198+Y198</f>
        <v>0</v>
      </c>
      <c r="AA198" s="494">
        <f t="shared" ref="AA198:AA201" si="537">ROUND((U198+Y198)*33.8%,0)</f>
        <v>0</v>
      </c>
      <c r="AB198" s="494">
        <f t="shared" ref="AB198:AB201" si="538">ROUND(U198*1%,0)</f>
        <v>0</v>
      </c>
      <c r="AC198" s="492">
        <v>0</v>
      </c>
      <c r="AD198" s="789">
        <f t="shared" ref="AD198:AD201" si="539">Z198+AA198+AB198+AC198</f>
        <v>0</v>
      </c>
      <c r="AE198" s="715">
        <v>0</v>
      </c>
      <c r="AF198" s="326">
        <v>0</v>
      </c>
      <c r="AG198" s="326">
        <v>0</v>
      </c>
      <c r="AH198" s="326">
        <v>0</v>
      </c>
      <c r="AI198" s="326">
        <v>0</v>
      </c>
      <c r="AJ198" s="326">
        <v>0</v>
      </c>
      <c r="AK198" s="626">
        <f t="shared" ref="AK198:AK201" si="540">SUM(AE198:AJ198)</f>
        <v>0</v>
      </c>
      <c r="AL198" s="493">
        <f>I198+AD198</f>
        <v>3719006</v>
      </c>
      <c r="AM198" s="492">
        <f>J198+U198</f>
        <v>2758906</v>
      </c>
      <c r="AN198" s="492">
        <f t="shared" ref="AN198:AN201" si="541">Y198</f>
        <v>0</v>
      </c>
      <c r="AO198" s="492">
        <f t="shared" ref="AO198:AP201" si="542">K198+AA198</f>
        <v>932511</v>
      </c>
      <c r="AP198" s="492">
        <f t="shared" si="542"/>
        <v>27589</v>
      </c>
      <c r="AQ198" s="492">
        <v>0</v>
      </c>
      <c r="AR198" s="491">
        <f t="shared" ref="AR198:AR201" si="543">N198+AK198</f>
        <v>4.4800000000000004</v>
      </c>
    </row>
    <row r="199" spans="1:44" s="152" customFormat="1" ht="12.75" customHeight="1" x14ac:dyDescent="0.2">
      <c r="A199" s="140">
        <v>45</v>
      </c>
      <c r="B199" s="141">
        <v>4427</v>
      </c>
      <c r="C199" s="141">
        <v>600074188</v>
      </c>
      <c r="D199" s="141">
        <v>70982678</v>
      </c>
      <c r="E199" s="139" t="s">
        <v>757</v>
      </c>
      <c r="F199" s="141">
        <v>3117</v>
      </c>
      <c r="G199" s="117" t="s">
        <v>280</v>
      </c>
      <c r="H199" s="565" t="s">
        <v>262</v>
      </c>
      <c r="I199" s="586">
        <f>SUM(J199:L199)</f>
        <v>1628277</v>
      </c>
      <c r="J199" s="490">
        <v>1207921</v>
      </c>
      <c r="K199" s="55">
        <f t="shared" ref="K199:K201" si="544">ROUND(J199*33.8%,0)</f>
        <v>408277</v>
      </c>
      <c r="L199" s="55">
        <f t="shared" si="532"/>
        <v>12079</v>
      </c>
      <c r="M199" s="55">
        <v>0</v>
      </c>
      <c r="N199" s="631">
        <v>2</v>
      </c>
      <c r="O199" s="440">
        <f t="shared" si="533"/>
        <v>0</v>
      </c>
      <c r="P199" s="325">
        <v>0</v>
      </c>
      <c r="Q199" s="325">
        <v>0</v>
      </c>
      <c r="R199" s="325">
        <v>0</v>
      </c>
      <c r="S199" s="325">
        <v>0</v>
      </c>
      <c r="T199" s="325">
        <v>0</v>
      </c>
      <c r="U199" s="492">
        <f t="shared" si="534"/>
        <v>0</v>
      </c>
      <c r="V199" s="325">
        <v>0</v>
      </c>
      <c r="W199" s="325">
        <v>0</v>
      </c>
      <c r="X199" s="325">
        <v>0</v>
      </c>
      <c r="Y199" s="492">
        <f t="shared" si="535"/>
        <v>0</v>
      </c>
      <c r="Z199" s="492">
        <f t="shared" si="536"/>
        <v>0</v>
      </c>
      <c r="AA199" s="494">
        <f t="shared" si="537"/>
        <v>0</v>
      </c>
      <c r="AB199" s="494">
        <f t="shared" si="538"/>
        <v>0</v>
      </c>
      <c r="AC199" s="492">
        <v>0</v>
      </c>
      <c r="AD199" s="789">
        <f t="shared" si="539"/>
        <v>0</v>
      </c>
      <c r="AE199" s="715">
        <v>0</v>
      </c>
      <c r="AF199" s="326">
        <v>0</v>
      </c>
      <c r="AG199" s="326">
        <v>0</v>
      </c>
      <c r="AH199" s="326">
        <v>0</v>
      </c>
      <c r="AI199" s="326">
        <v>0</v>
      </c>
      <c r="AJ199" s="326">
        <v>0</v>
      </c>
      <c r="AK199" s="626">
        <f t="shared" si="540"/>
        <v>0</v>
      </c>
      <c r="AL199" s="493">
        <f>I199+AD199</f>
        <v>1628277</v>
      </c>
      <c r="AM199" s="492">
        <f>J199+U199</f>
        <v>1207921</v>
      </c>
      <c r="AN199" s="492">
        <f t="shared" si="541"/>
        <v>0</v>
      </c>
      <c r="AO199" s="492">
        <f t="shared" si="542"/>
        <v>408277</v>
      </c>
      <c r="AP199" s="492">
        <f t="shared" si="542"/>
        <v>12079</v>
      </c>
      <c r="AQ199" s="492">
        <v>0</v>
      </c>
      <c r="AR199" s="491">
        <f t="shared" si="543"/>
        <v>2</v>
      </c>
    </row>
    <row r="200" spans="1:44" s="152" customFormat="1" ht="12.75" customHeight="1" x14ac:dyDescent="0.2">
      <c r="A200" s="140">
        <v>45</v>
      </c>
      <c r="B200" s="141">
        <v>4427</v>
      </c>
      <c r="C200" s="141">
        <v>600074188</v>
      </c>
      <c r="D200" s="141">
        <v>70982678</v>
      </c>
      <c r="E200" s="139" t="s">
        <v>757</v>
      </c>
      <c r="F200" s="141">
        <v>3117</v>
      </c>
      <c r="G200" s="117" t="s">
        <v>278</v>
      </c>
      <c r="H200" s="565" t="s">
        <v>263</v>
      </c>
      <c r="I200" s="586">
        <f>SUM(J200:L200)</f>
        <v>0</v>
      </c>
      <c r="J200" s="490">
        <v>0</v>
      </c>
      <c r="K200" s="55">
        <f t="shared" si="544"/>
        <v>0</v>
      </c>
      <c r="L200" s="55">
        <f t="shared" si="532"/>
        <v>0</v>
      </c>
      <c r="M200" s="55">
        <v>0</v>
      </c>
      <c r="N200" s="631">
        <v>0</v>
      </c>
      <c r="O200" s="440">
        <f t="shared" si="533"/>
        <v>0</v>
      </c>
      <c r="P200" s="325">
        <v>694483</v>
      </c>
      <c r="Q200" s="325">
        <v>0</v>
      </c>
      <c r="R200" s="325">
        <v>0</v>
      </c>
      <c r="S200" s="325">
        <v>0</v>
      </c>
      <c r="T200" s="325">
        <v>0</v>
      </c>
      <c r="U200" s="492">
        <f t="shared" si="534"/>
        <v>694483</v>
      </c>
      <c r="V200" s="325">
        <v>0</v>
      </c>
      <c r="W200" s="325">
        <v>0</v>
      </c>
      <c r="X200" s="325">
        <v>0</v>
      </c>
      <c r="Y200" s="492">
        <f t="shared" si="535"/>
        <v>0</v>
      </c>
      <c r="Z200" s="492">
        <f t="shared" si="536"/>
        <v>694483</v>
      </c>
      <c r="AA200" s="494">
        <f t="shared" si="537"/>
        <v>234735</v>
      </c>
      <c r="AB200" s="494">
        <f t="shared" si="538"/>
        <v>6945</v>
      </c>
      <c r="AC200" s="492">
        <v>0</v>
      </c>
      <c r="AD200" s="789">
        <f t="shared" si="539"/>
        <v>936163</v>
      </c>
      <c r="AE200" s="715">
        <v>0</v>
      </c>
      <c r="AF200" s="326">
        <v>1.75</v>
      </c>
      <c r="AG200" s="326">
        <v>0</v>
      </c>
      <c r="AH200" s="326">
        <v>0</v>
      </c>
      <c r="AI200" s="326">
        <v>0</v>
      </c>
      <c r="AJ200" s="326">
        <v>0</v>
      </c>
      <c r="AK200" s="626">
        <f t="shared" si="540"/>
        <v>1.75</v>
      </c>
      <c r="AL200" s="493">
        <f>I200+AD200</f>
        <v>936163</v>
      </c>
      <c r="AM200" s="492">
        <f>J200+U200</f>
        <v>694483</v>
      </c>
      <c r="AN200" s="492">
        <f t="shared" si="541"/>
        <v>0</v>
      </c>
      <c r="AO200" s="492">
        <f t="shared" si="542"/>
        <v>234735</v>
      </c>
      <c r="AP200" s="492">
        <f t="shared" si="542"/>
        <v>6945</v>
      </c>
      <c r="AQ200" s="492">
        <v>0</v>
      </c>
      <c r="AR200" s="491">
        <f t="shared" si="543"/>
        <v>1.75</v>
      </c>
    </row>
    <row r="201" spans="1:44" s="152" customFormat="1" ht="12.75" customHeight="1" x14ac:dyDescent="0.2">
      <c r="A201" s="140">
        <v>45</v>
      </c>
      <c r="B201" s="141">
        <v>4427</v>
      </c>
      <c r="C201" s="141">
        <v>600074188</v>
      </c>
      <c r="D201" s="141">
        <v>70982678</v>
      </c>
      <c r="E201" s="139" t="s">
        <v>757</v>
      </c>
      <c r="F201" s="141">
        <v>3143</v>
      </c>
      <c r="G201" s="117" t="s">
        <v>795</v>
      </c>
      <c r="H201" s="157" t="s">
        <v>262</v>
      </c>
      <c r="I201" s="586">
        <f>SUM(J201:L201)</f>
        <v>650618</v>
      </c>
      <c r="J201" s="490">
        <v>482654</v>
      </c>
      <c r="K201" s="55">
        <f t="shared" si="544"/>
        <v>163137</v>
      </c>
      <c r="L201" s="55">
        <f t="shared" si="532"/>
        <v>4827</v>
      </c>
      <c r="M201" s="55">
        <v>0</v>
      </c>
      <c r="N201" s="631">
        <v>0.97</v>
      </c>
      <c r="O201" s="440">
        <f t="shared" si="533"/>
        <v>0</v>
      </c>
      <c r="P201" s="325">
        <v>0</v>
      </c>
      <c r="Q201" s="325">
        <v>0</v>
      </c>
      <c r="R201" s="325">
        <v>0</v>
      </c>
      <c r="S201" s="325">
        <v>0</v>
      </c>
      <c r="T201" s="325">
        <v>0</v>
      </c>
      <c r="U201" s="492">
        <f t="shared" si="534"/>
        <v>0</v>
      </c>
      <c r="V201" s="325">
        <v>0</v>
      </c>
      <c r="W201" s="325">
        <v>0</v>
      </c>
      <c r="X201" s="325">
        <v>0</v>
      </c>
      <c r="Y201" s="492">
        <f t="shared" si="535"/>
        <v>0</v>
      </c>
      <c r="Z201" s="492">
        <f t="shared" si="536"/>
        <v>0</v>
      </c>
      <c r="AA201" s="494">
        <f t="shared" si="537"/>
        <v>0</v>
      </c>
      <c r="AB201" s="494">
        <f t="shared" si="538"/>
        <v>0</v>
      </c>
      <c r="AC201" s="492">
        <v>0</v>
      </c>
      <c r="AD201" s="789">
        <f t="shared" si="539"/>
        <v>0</v>
      </c>
      <c r="AE201" s="715">
        <v>0</v>
      </c>
      <c r="AF201" s="326">
        <v>0</v>
      </c>
      <c r="AG201" s="326">
        <v>0</v>
      </c>
      <c r="AH201" s="326">
        <v>0</v>
      </c>
      <c r="AI201" s="326">
        <v>0</v>
      </c>
      <c r="AJ201" s="326">
        <v>0</v>
      </c>
      <c r="AK201" s="626">
        <f t="shared" si="540"/>
        <v>0</v>
      </c>
      <c r="AL201" s="493">
        <f>I201+AD201</f>
        <v>650618</v>
      </c>
      <c r="AM201" s="492">
        <f>J201+U201</f>
        <v>482654</v>
      </c>
      <c r="AN201" s="492">
        <f t="shared" si="541"/>
        <v>0</v>
      </c>
      <c r="AO201" s="492">
        <f t="shared" si="542"/>
        <v>163137</v>
      </c>
      <c r="AP201" s="492">
        <f t="shared" si="542"/>
        <v>4827</v>
      </c>
      <c r="AQ201" s="492">
        <v>0</v>
      </c>
      <c r="AR201" s="491">
        <f t="shared" si="543"/>
        <v>0.97</v>
      </c>
    </row>
    <row r="202" spans="1:44" s="152" customFormat="1" ht="12.75" customHeight="1" x14ac:dyDescent="0.2">
      <c r="A202" s="107">
        <v>45</v>
      </c>
      <c r="B202" s="15">
        <v>4427</v>
      </c>
      <c r="C202" s="15">
        <v>600074188</v>
      </c>
      <c r="D202" s="15">
        <v>70982678</v>
      </c>
      <c r="E202" s="116" t="s">
        <v>758</v>
      </c>
      <c r="F202" s="15"/>
      <c r="G202" s="106"/>
      <c r="H202" s="560"/>
      <c r="I202" s="794">
        <f t="shared" ref="I202:AR202" si="545">SUM(I198:I201)</f>
        <v>5997901</v>
      </c>
      <c r="J202" s="343">
        <f t="shared" si="545"/>
        <v>4449481</v>
      </c>
      <c r="K202" s="343">
        <f t="shared" si="545"/>
        <v>1503925</v>
      </c>
      <c r="L202" s="343">
        <f t="shared" si="545"/>
        <v>44495</v>
      </c>
      <c r="M202" s="343">
        <f t="shared" si="545"/>
        <v>0</v>
      </c>
      <c r="N202" s="35">
        <f t="shared" si="545"/>
        <v>7.45</v>
      </c>
      <c r="O202" s="346">
        <f t="shared" si="545"/>
        <v>0</v>
      </c>
      <c r="P202" s="343">
        <f t="shared" si="545"/>
        <v>694483</v>
      </c>
      <c r="Q202" s="343">
        <f t="shared" si="545"/>
        <v>0</v>
      </c>
      <c r="R202" s="343">
        <f t="shared" si="545"/>
        <v>0</v>
      </c>
      <c r="S202" s="343">
        <f t="shared" si="545"/>
        <v>0</v>
      </c>
      <c r="T202" s="343">
        <f t="shared" si="545"/>
        <v>0</v>
      </c>
      <c r="U202" s="343">
        <f t="shared" si="545"/>
        <v>694483</v>
      </c>
      <c r="V202" s="343">
        <f t="shared" si="545"/>
        <v>0</v>
      </c>
      <c r="W202" s="343">
        <f t="shared" si="545"/>
        <v>0</v>
      </c>
      <c r="X202" s="343">
        <f t="shared" si="545"/>
        <v>0</v>
      </c>
      <c r="Y202" s="343">
        <f t="shared" si="545"/>
        <v>0</v>
      </c>
      <c r="Z202" s="343">
        <f t="shared" si="545"/>
        <v>694483</v>
      </c>
      <c r="AA202" s="343">
        <f t="shared" si="545"/>
        <v>234735</v>
      </c>
      <c r="AB202" s="343">
        <f t="shared" si="545"/>
        <v>6945</v>
      </c>
      <c r="AC202" s="343">
        <f t="shared" si="545"/>
        <v>0</v>
      </c>
      <c r="AD202" s="799">
        <f t="shared" si="545"/>
        <v>936163</v>
      </c>
      <c r="AE202" s="803">
        <f t="shared" si="545"/>
        <v>0</v>
      </c>
      <c r="AF202" s="344">
        <f t="shared" si="545"/>
        <v>1.75</v>
      </c>
      <c r="AG202" s="344">
        <f t="shared" si="545"/>
        <v>0</v>
      </c>
      <c r="AH202" s="344">
        <f t="shared" si="545"/>
        <v>0</v>
      </c>
      <c r="AI202" s="344">
        <f t="shared" si="545"/>
        <v>0</v>
      </c>
      <c r="AJ202" s="344">
        <f t="shared" si="545"/>
        <v>0</v>
      </c>
      <c r="AK202" s="35">
        <f t="shared" si="545"/>
        <v>1.75</v>
      </c>
      <c r="AL202" s="346">
        <f t="shared" si="545"/>
        <v>6934064</v>
      </c>
      <c r="AM202" s="343">
        <f t="shared" si="545"/>
        <v>5143964</v>
      </c>
      <c r="AN202" s="343">
        <f t="shared" si="545"/>
        <v>0</v>
      </c>
      <c r="AO202" s="343">
        <f t="shared" si="545"/>
        <v>1738660</v>
      </c>
      <c r="AP202" s="343">
        <f t="shared" si="545"/>
        <v>51440</v>
      </c>
      <c r="AQ202" s="343">
        <f t="shared" si="545"/>
        <v>0</v>
      </c>
      <c r="AR202" s="344">
        <f t="shared" si="545"/>
        <v>9.2000000000000011</v>
      </c>
    </row>
    <row r="203" spans="1:44" s="152" customFormat="1" ht="12.75" customHeight="1" x14ac:dyDescent="0.2">
      <c r="A203" s="140">
        <v>46</v>
      </c>
      <c r="B203" s="141">
        <v>4490</v>
      </c>
      <c r="C203" s="141">
        <v>600074692</v>
      </c>
      <c r="D203" s="141">
        <v>72745088</v>
      </c>
      <c r="E203" s="139" t="s">
        <v>226</v>
      </c>
      <c r="F203" s="141">
        <v>3111</v>
      </c>
      <c r="G203" s="117" t="s">
        <v>277</v>
      </c>
      <c r="H203" s="565" t="s">
        <v>262</v>
      </c>
      <c r="I203" s="586">
        <f>SUM(J203:L203)</f>
        <v>1302623</v>
      </c>
      <c r="J203" s="490">
        <v>966338</v>
      </c>
      <c r="K203" s="55">
        <f t="shared" ref="K203:K206" si="546">ROUND(J203*33.8%,0)</f>
        <v>326622</v>
      </c>
      <c r="L203" s="55">
        <f t="shared" ref="L203:L206" si="547">ROUND(J203*1%,0)</f>
        <v>9663</v>
      </c>
      <c r="M203" s="55">
        <v>0</v>
      </c>
      <c r="N203" s="631">
        <v>1.85</v>
      </c>
      <c r="O203" s="445">
        <f t="shared" ref="O203:O206" si="548">V203*-1</f>
        <v>0</v>
      </c>
      <c r="P203" s="325">
        <v>0</v>
      </c>
      <c r="Q203" s="325">
        <v>0</v>
      </c>
      <c r="R203" s="325">
        <v>0</v>
      </c>
      <c r="S203" s="325">
        <v>0</v>
      </c>
      <c r="T203" s="325">
        <v>0</v>
      </c>
      <c r="U203" s="492">
        <f t="shared" ref="U203:U206" si="549">O203+P203+Q203+R203+S203+T203</f>
        <v>0</v>
      </c>
      <c r="V203" s="325">
        <v>0</v>
      </c>
      <c r="W203" s="325">
        <v>0</v>
      </c>
      <c r="X203" s="325">
        <v>0</v>
      </c>
      <c r="Y203" s="492">
        <f t="shared" ref="Y203:Y206" si="550">V203+W203+X203</f>
        <v>0</v>
      </c>
      <c r="Z203" s="492">
        <f t="shared" ref="Z203:Z206" si="551">U203+Y203</f>
        <v>0</v>
      </c>
      <c r="AA203" s="494">
        <f t="shared" ref="AA203:AA206" si="552">ROUND((U203+Y203)*33.8%,0)</f>
        <v>0</v>
      </c>
      <c r="AB203" s="494">
        <f t="shared" ref="AB203:AB206" si="553">ROUND(U203*1%,0)</f>
        <v>0</v>
      </c>
      <c r="AC203" s="492">
        <v>0</v>
      </c>
      <c r="AD203" s="789">
        <f t="shared" ref="AD203:AD206" si="554">Z203+AA203+AB203+AC203</f>
        <v>0</v>
      </c>
      <c r="AE203" s="715">
        <v>0</v>
      </c>
      <c r="AF203" s="326">
        <v>0</v>
      </c>
      <c r="AG203" s="326">
        <v>0</v>
      </c>
      <c r="AH203" s="326">
        <v>0</v>
      </c>
      <c r="AI203" s="326">
        <v>0</v>
      </c>
      <c r="AJ203" s="326">
        <v>0</v>
      </c>
      <c r="AK203" s="626">
        <f t="shared" ref="AK203:AK206" si="555">SUM(AE203:AJ203)</f>
        <v>0</v>
      </c>
      <c r="AL203" s="493">
        <f>I203+AD203</f>
        <v>1302623</v>
      </c>
      <c r="AM203" s="492">
        <f>J203+U203</f>
        <v>966338</v>
      </c>
      <c r="AN203" s="492">
        <f t="shared" ref="AN203:AN206" si="556">Y203</f>
        <v>0</v>
      </c>
      <c r="AO203" s="492">
        <f t="shared" ref="AO203:AP206" si="557">K203+AA203</f>
        <v>326622</v>
      </c>
      <c r="AP203" s="492">
        <f t="shared" si="557"/>
        <v>9663</v>
      </c>
      <c r="AQ203" s="492">
        <v>0</v>
      </c>
      <c r="AR203" s="491">
        <f t="shared" ref="AR203:AR206" si="558">N203+AK203</f>
        <v>1.85</v>
      </c>
    </row>
    <row r="204" spans="1:44" s="152" customFormat="1" ht="12.75" customHeight="1" x14ac:dyDescent="0.2">
      <c r="A204" s="140">
        <v>46</v>
      </c>
      <c r="B204" s="141">
        <v>4490</v>
      </c>
      <c r="C204" s="141">
        <v>600074692</v>
      </c>
      <c r="D204" s="141">
        <v>72745088</v>
      </c>
      <c r="E204" s="139" t="s">
        <v>226</v>
      </c>
      <c r="F204" s="141">
        <v>3117</v>
      </c>
      <c r="G204" s="117" t="s">
        <v>280</v>
      </c>
      <c r="H204" s="565" t="s">
        <v>262</v>
      </c>
      <c r="I204" s="586">
        <f>SUM(J204:L204)</f>
        <v>1938606</v>
      </c>
      <c r="J204" s="490">
        <v>1438134</v>
      </c>
      <c r="K204" s="55">
        <f>ROUND(J204*33.8%,0)+1</f>
        <v>486090</v>
      </c>
      <c r="L204" s="55">
        <f>ROUND(J204*1%,0)+1</f>
        <v>14382</v>
      </c>
      <c r="M204" s="55">
        <v>0</v>
      </c>
      <c r="N204" s="631">
        <v>2.48</v>
      </c>
      <c r="O204" s="440">
        <f t="shared" si="548"/>
        <v>0</v>
      </c>
      <c r="P204" s="325">
        <v>0</v>
      </c>
      <c r="Q204" s="325">
        <v>0</v>
      </c>
      <c r="R204" s="325">
        <v>0</v>
      </c>
      <c r="S204" s="325">
        <v>0</v>
      </c>
      <c r="T204" s="325">
        <v>0</v>
      </c>
      <c r="U204" s="492">
        <f t="shared" si="549"/>
        <v>0</v>
      </c>
      <c r="V204" s="325">
        <v>0</v>
      </c>
      <c r="W204" s="325">
        <v>0</v>
      </c>
      <c r="X204" s="325">
        <v>0</v>
      </c>
      <c r="Y204" s="492">
        <f t="shared" si="550"/>
        <v>0</v>
      </c>
      <c r="Z204" s="492">
        <f t="shared" si="551"/>
        <v>0</v>
      </c>
      <c r="AA204" s="494">
        <f t="shared" si="552"/>
        <v>0</v>
      </c>
      <c r="AB204" s="494">
        <f t="shared" si="553"/>
        <v>0</v>
      </c>
      <c r="AC204" s="492">
        <v>0</v>
      </c>
      <c r="AD204" s="789">
        <f t="shared" si="554"/>
        <v>0</v>
      </c>
      <c r="AE204" s="715">
        <v>0</v>
      </c>
      <c r="AF204" s="326">
        <v>0</v>
      </c>
      <c r="AG204" s="326">
        <v>0</v>
      </c>
      <c r="AH204" s="326">
        <v>0</v>
      </c>
      <c r="AI204" s="326">
        <v>0</v>
      </c>
      <c r="AJ204" s="326">
        <v>0</v>
      </c>
      <c r="AK204" s="626">
        <f t="shared" si="555"/>
        <v>0</v>
      </c>
      <c r="AL204" s="493">
        <f>I204+AD204</f>
        <v>1938606</v>
      </c>
      <c r="AM204" s="492">
        <f>J204+U204</f>
        <v>1438134</v>
      </c>
      <c r="AN204" s="492">
        <f t="shared" si="556"/>
        <v>0</v>
      </c>
      <c r="AO204" s="492">
        <f t="shared" si="557"/>
        <v>486090</v>
      </c>
      <c r="AP204" s="492">
        <f t="shared" si="557"/>
        <v>14382</v>
      </c>
      <c r="AQ204" s="492">
        <v>0</v>
      </c>
      <c r="AR204" s="491">
        <f t="shared" si="558"/>
        <v>2.48</v>
      </c>
    </row>
    <row r="205" spans="1:44" s="152" customFormat="1" ht="12.75" customHeight="1" x14ac:dyDescent="0.2">
      <c r="A205" s="140">
        <v>46</v>
      </c>
      <c r="B205" s="141">
        <v>4490</v>
      </c>
      <c r="C205" s="141">
        <v>600074692</v>
      </c>
      <c r="D205" s="141">
        <v>72745088</v>
      </c>
      <c r="E205" s="139" t="s">
        <v>226</v>
      </c>
      <c r="F205" s="141">
        <v>3117</v>
      </c>
      <c r="G205" s="117" t="s">
        <v>278</v>
      </c>
      <c r="H205" s="565" t="s">
        <v>263</v>
      </c>
      <c r="I205" s="586">
        <f>SUM(J205:L205)</f>
        <v>0</v>
      </c>
      <c r="J205" s="490">
        <v>0</v>
      </c>
      <c r="K205" s="55">
        <f t="shared" si="546"/>
        <v>0</v>
      </c>
      <c r="L205" s="55">
        <f t="shared" si="547"/>
        <v>0</v>
      </c>
      <c r="M205" s="55">
        <v>0</v>
      </c>
      <c r="N205" s="631">
        <v>0</v>
      </c>
      <c r="O205" s="440">
        <f t="shared" si="548"/>
        <v>0</v>
      </c>
      <c r="P205" s="325">
        <v>198424</v>
      </c>
      <c r="Q205" s="325">
        <v>0</v>
      </c>
      <c r="R205" s="325">
        <v>0</v>
      </c>
      <c r="S205" s="325">
        <v>0</v>
      </c>
      <c r="T205" s="325">
        <v>0</v>
      </c>
      <c r="U205" s="492">
        <f t="shared" si="549"/>
        <v>198424</v>
      </c>
      <c r="V205" s="325">
        <v>0</v>
      </c>
      <c r="W205" s="325">
        <v>0</v>
      </c>
      <c r="X205" s="325">
        <v>0</v>
      </c>
      <c r="Y205" s="492">
        <f t="shared" si="550"/>
        <v>0</v>
      </c>
      <c r="Z205" s="492">
        <f t="shared" si="551"/>
        <v>198424</v>
      </c>
      <c r="AA205" s="494">
        <f t="shared" si="552"/>
        <v>67067</v>
      </c>
      <c r="AB205" s="494">
        <f t="shared" si="553"/>
        <v>1984</v>
      </c>
      <c r="AC205" s="492">
        <v>0</v>
      </c>
      <c r="AD205" s="789">
        <f t="shared" si="554"/>
        <v>267475</v>
      </c>
      <c r="AE205" s="715">
        <v>0</v>
      </c>
      <c r="AF205" s="326">
        <v>0.5</v>
      </c>
      <c r="AG205" s="326">
        <v>0</v>
      </c>
      <c r="AH205" s="326">
        <v>0</v>
      </c>
      <c r="AI205" s="326">
        <v>0</v>
      </c>
      <c r="AJ205" s="326">
        <v>0</v>
      </c>
      <c r="AK205" s="626">
        <f t="shared" si="555"/>
        <v>0.5</v>
      </c>
      <c r="AL205" s="493">
        <f>I205+AD205</f>
        <v>267475</v>
      </c>
      <c r="AM205" s="492">
        <f>J205+U205</f>
        <v>198424</v>
      </c>
      <c r="AN205" s="492">
        <f t="shared" si="556"/>
        <v>0</v>
      </c>
      <c r="AO205" s="492">
        <f t="shared" si="557"/>
        <v>67067</v>
      </c>
      <c r="AP205" s="492">
        <f t="shared" si="557"/>
        <v>1984</v>
      </c>
      <c r="AQ205" s="492">
        <v>0</v>
      </c>
      <c r="AR205" s="491">
        <f t="shared" si="558"/>
        <v>0.5</v>
      </c>
    </row>
    <row r="206" spans="1:44" s="152" customFormat="1" ht="12.75" customHeight="1" x14ac:dyDescent="0.2">
      <c r="A206" s="140">
        <v>46</v>
      </c>
      <c r="B206" s="141">
        <v>4490</v>
      </c>
      <c r="C206" s="141">
        <v>600074692</v>
      </c>
      <c r="D206" s="141">
        <v>72745088</v>
      </c>
      <c r="E206" s="139" t="s">
        <v>226</v>
      </c>
      <c r="F206" s="141">
        <v>3143</v>
      </c>
      <c r="G206" s="117" t="s">
        <v>795</v>
      </c>
      <c r="H206" s="157" t="s">
        <v>262</v>
      </c>
      <c r="I206" s="586">
        <f>SUM(J206:L206)</f>
        <v>756923</v>
      </c>
      <c r="J206" s="490">
        <v>561516</v>
      </c>
      <c r="K206" s="55">
        <f t="shared" si="546"/>
        <v>189792</v>
      </c>
      <c r="L206" s="55">
        <f t="shared" si="547"/>
        <v>5615</v>
      </c>
      <c r="M206" s="55">
        <v>0</v>
      </c>
      <c r="N206" s="631">
        <v>1.05</v>
      </c>
      <c r="O206" s="440">
        <f t="shared" si="548"/>
        <v>0</v>
      </c>
      <c r="P206" s="325">
        <v>0</v>
      </c>
      <c r="Q206" s="325">
        <v>0</v>
      </c>
      <c r="R206" s="325">
        <v>0</v>
      </c>
      <c r="S206" s="325">
        <v>0</v>
      </c>
      <c r="T206" s="325">
        <v>0</v>
      </c>
      <c r="U206" s="492">
        <f t="shared" si="549"/>
        <v>0</v>
      </c>
      <c r="V206" s="325">
        <v>0</v>
      </c>
      <c r="W206" s="325">
        <v>0</v>
      </c>
      <c r="X206" s="325">
        <v>0</v>
      </c>
      <c r="Y206" s="492">
        <f t="shared" si="550"/>
        <v>0</v>
      </c>
      <c r="Z206" s="492">
        <f t="shared" si="551"/>
        <v>0</v>
      </c>
      <c r="AA206" s="494">
        <f t="shared" si="552"/>
        <v>0</v>
      </c>
      <c r="AB206" s="494">
        <f t="shared" si="553"/>
        <v>0</v>
      </c>
      <c r="AC206" s="492">
        <v>0</v>
      </c>
      <c r="AD206" s="789">
        <f t="shared" si="554"/>
        <v>0</v>
      </c>
      <c r="AE206" s="715">
        <v>0</v>
      </c>
      <c r="AF206" s="326">
        <v>0</v>
      </c>
      <c r="AG206" s="326">
        <v>0</v>
      </c>
      <c r="AH206" s="326">
        <v>0</v>
      </c>
      <c r="AI206" s="326">
        <v>0</v>
      </c>
      <c r="AJ206" s="326">
        <v>0</v>
      </c>
      <c r="AK206" s="626">
        <f t="shared" si="555"/>
        <v>0</v>
      </c>
      <c r="AL206" s="493">
        <f>I206+AD206</f>
        <v>756923</v>
      </c>
      <c r="AM206" s="492">
        <f>J206+U206</f>
        <v>561516</v>
      </c>
      <c r="AN206" s="492">
        <f t="shared" si="556"/>
        <v>0</v>
      </c>
      <c r="AO206" s="492">
        <f t="shared" si="557"/>
        <v>189792</v>
      </c>
      <c r="AP206" s="492">
        <f t="shared" si="557"/>
        <v>5615</v>
      </c>
      <c r="AQ206" s="492">
        <v>0</v>
      </c>
      <c r="AR206" s="491">
        <f t="shared" si="558"/>
        <v>1.05</v>
      </c>
    </row>
    <row r="207" spans="1:44" s="152" customFormat="1" ht="12.75" customHeight="1" x14ac:dyDescent="0.2">
      <c r="A207" s="107">
        <v>46</v>
      </c>
      <c r="B207" s="15">
        <v>4490</v>
      </c>
      <c r="C207" s="15">
        <v>600074692</v>
      </c>
      <c r="D207" s="15">
        <v>72745088</v>
      </c>
      <c r="E207" s="116" t="s">
        <v>227</v>
      </c>
      <c r="F207" s="15"/>
      <c r="G207" s="106"/>
      <c r="H207" s="560"/>
      <c r="I207" s="793">
        <f t="shared" ref="I207:AR207" si="559">SUM(I203:I206)</f>
        <v>3998152</v>
      </c>
      <c r="J207" s="341">
        <f t="shared" si="559"/>
        <v>2965988</v>
      </c>
      <c r="K207" s="341">
        <f t="shared" si="559"/>
        <v>1002504</v>
      </c>
      <c r="L207" s="341">
        <f t="shared" si="559"/>
        <v>29660</v>
      </c>
      <c r="M207" s="341">
        <f t="shared" si="559"/>
        <v>0</v>
      </c>
      <c r="N207" s="36">
        <f t="shared" si="559"/>
        <v>5.38</v>
      </c>
      <c r="O207" s="345">
        <f t="shared" si="559"/>
        <v>0</v>
      </c>
      <c r="P207" s="341">
        <f t="shared" si="559"/>
        <v>198424</v>
      </c>
      <c r="Q207" s="341">
        <f t="shared" si="559"/>
        <v>0</v>
      </c>
      <c r="R207" s="341">
        <f t="shared" si="559"/>
        <v>0</v>
      </c>
      <c r="S207" s="341">
        <f t="shared" si="559"/>
        <v>0</v>
      </c>
      <c r="T207" s="341">
        <f t="shared" si="559"/>
        <v>0</v>
      </c>
      <c r="U207" s="341">
        <f t="shared" si="559"/>
        <v>198424</v>
      </c>
      <c r="V207" s="341">
        <f t="shared" si="559"/>
        <v>0</v>
      </c>
      <c r="W207" s="341">
        <f t="shared" si="559"/>
        <v>0</v>
      </c>
      <c r="X207" s="341">
        <f t="shared" si="559"/>
        <v>0</v>
      </c>
      <c r="Y207" s="341">
        <f t="shared" si="559"/>
        <v>0</v>
      </c>
      <c r="Z207" s="341">
        <f t="shared" si="559"/>
        <v>198424</v>
      </c>
      <c r="AA207" s="341">
        <f t="shared" si="559"/>
        <v>67067</v>
      </c>
      <c r="AB207" s="341">
        <f t="shared" si="559"/>
        <v>1984</v>
      </c>
      <c r="AC207" s="341">
        <f t="shared" si="559"/>
        <v>0</v>
      </c>
      <c r="AD207" s="798">
        <f t="shared" si="559"/>
        <v>267475</v>
      </c>
      <c r="AE207" s="802">
        <f t="shared" si="559"/>
        <v>0</v>
      </c>
      <c r="AF207" s="342">
        <f t="shared" si="559"/>
        <v>0.5</v>
      </c>
      <c r="AG207" s="342">
        <f t="shared" si="559"/>
        <v>0</v>
      </c>
      <c r="AH207" s="342">
        <f t="shared" si="559"/>
        <v>0</v>
      </c>
      <c r="AI207" s="342">
        <f t="shared" si="559"/>
        <v>0</v>
      </c>
      <c r="AJ207" s="342">
        <f t="shared" si="559"/>
        <v>0</v>
      </c>
      <c r="AK207" s="36">
        <f t="shared" si="559"/>
        <v>0.5</v>
      </c>
      <c r="AL207" s="345">
        <f t="shared" si="559"/>
        <v>4265627</v>
      </c>
      <c r="AM207" s="341">
        <f t="shared" si="559"/>
        <v>3164412</v>
      </c>
      <c r="AN207" s="341">
        <f t="shared" si="559"/>
        <v>0</v>
      </c>
      <c r="AO207" s="341">
        <f t="shared" si="559"/>
        <v>1069571</v>
      </c>
      <c r="AP207" s="341">
        <f t="shared" si="559"/>
        <v>31644</v>
      </c>
      <c r="AQ207" s="341">
        <f t="shared" si="559"/>
        <v>0</v>
      </c>
      <c r="AR207" s="342">
        <f t="shared" si="559"/>
        <v>5.88</v>
      </c>
    </row>
    <row r="208" spans="1:44" s="152" customFormat="1" ht="12.75" customHeight="1" x14ac:dyDescent="0.2">
      <c r="A208" s="140">
        <v>47</v>
      </c>
      <c r="B208" s="141">
        <v>4491</v>
      </c>
      <c r="C208" s="141">
        <v>650050517</v>
      </c>
      <c r="D208" s="141">
        <v>72742437</v>
      </c>
      <c r="E208" s="139" t="s">
        <v>228</v>
      </c>
      <c r="F208" s="141">
        <v>3111</v>
      </c>
      <c r="G208" s="117" t="s">
        <v>277</v>
      </c>
      <c r="H208" s="565" t="s">
        <v>262</v>
      </c>
      <c r="I208" s="586">
        <f>SUM(J208:L208)</f>
        <v>1693726</v>
      </c>
      <c r="J208" s="490">
        <v>1256473</v>
      </c>
      <c r="K208" s="55">
        <f t="shared" ref="K208:K211" si="560">ROUND(J208*33.8%,0)</f>
        <v>424688</v>
      </c>
      <c r="L208" s="55">
        <f t="shared" ref="L208:L211" si="561">ROUND(J208*1%,0)</f>
        <v>12565</v>
      </c>
      <c r="M208" s="55">
        <v>0</v>
      </c>
      <c r="N208" s="631">
        <v>2</v>
      </c>
      <c r="O208" s="445">
        <f t="shared" ref="O208:O211" si="562">V208*-1</f>
        <v>-6000</v>
      </c>
      <c r="P208" s="325">
        <v>0</v>
      </c>
      <c r="Q208" s="325">
        <v>0</v>
      </c>
      <c r="R208" s="325">
        <v>0</v>
      </c>
      <c r="S208" s="325">
        <v>0</v>
      </c>
      <c r="T208" s="325">
        <v>0</v>
      </c>
      <c r="U208" s="492">
        <f t="shared" ref="U208:U211" si="563">O208+P208+Q208+R208+S208+T208</f>
        <v>-6000</v>
      </c>
      <c r="V208" s="325">
        <v>6000</v>
      </c>
      <c r="W208" s="325">
        <v>0</v>
      </c>
      <c r="X208" s="325">
        <v>0</v>
      </c>
      <c r="Y208" s="492">
        <f t="shared" ref="Y208:Y211" si="564">V208+W208+X208</f>
        <v>6000</v>
      </c>
      <c r="Z208" s="492">
        <f t="shared" ref="Z208:Z211" si="565">U208+Y208</f>
        <v>0</v>
      </c>
      <c r="AA208" s="494">
        <f t="shared" ref="AA208:AA211" si="566">ROUND((U208+Y208)*33.8%,0)</f>
        <v>0</v>
      </c>
      <c r="AB208" s="494">
        <f t="shared" ref="AB208:AB211" si="567">ROUND(U208*1%,0)</f>
        <v>-60</v>
      </c>
      <c r="AC208" s="492">
        <v>0</v>
      </c>
      <c r="AD208" s="789">
        <f t="shared" ref="AD208:AD211" si="568">Z208+AA208+AB208+AC208</f>
        <v>-60</v>
      </c>
      <c r="AE208" s="715">
        <v>-0.01</v>
      </c>
      <c r="AF208" s="326">
        <v>0</v>
      </c>
      <c r="AG208" s="326">
        <v>0</v>
      </c>
      <c r="AH208" s="326">
        <v>0</v>
      </c>
      <c r="AI208" s="326">
        <v>0</v>
      </c>
      <c r="AJ208" s="326">
        <v>0</v>
      </c>
      <c r="AK208" s="626">
        <f t="shared" ref="AK208:AK211" si="569">SUM(AE208:AJ208)</f>
        <v>-0.01</v>
      </c>
      <c r="AL208" s="493">
        <f>I208+AD208</f>
        <v>1693666</v>
      </c>
      <c r="AM208" s="492">
        <f>J208+U208</f>
        <v>1250473</v>
      </c>
      <c r="AN208" s="492">
        <f t="shared" ref="AN208:AN211" si="570">Y208</f>
        <v>6000</v>
      </c>
      <c r="AO208" s="492">
        <f t="shared" ref="AO208:AP211" si="571">K208+AA208</f>
        <v>424688</v>
      </c>
      <c r="AP208" s="492">
        <f t="shared" si="571"/>
        <v>12505</v>
      </c>
      <c r="AQ208" s="492">
        <v>0</v>
      </c>
      <c r="AR208" s="491">
        <f t="shared" ref="AR208:AR211" si="572">N208+AK208</f>
        <v>1.99</v>
      </c>
    </row>
    <row r="209" spans="1:44" s="152" customFormat="1" ht="12.75" customHeight="1" x14ac:dyDescent="0.2">
      <c r="A209" s="140">
        <v>47</v>
      </c>
      <c r="B209" s="141">
        <v>4491</v>
      </c>
      <c r="C209" s="141">
        <v>650050517</v>
      </c>
      <c r="D209" s="141">
        <v>72742437</v>
      </c>
      <c r="E209" s="139" t="s">
        <v>228</v>
      </c>
      <c r="F209" s="141">
        <v>3117</v>
      </c>
      <c r="G209" s="117" t="s">
        <v>280</v>
      </c>
      <c r="H209" s="565" t="s">
        <v>262</v>
      </c>
      <c r="I209" s="586">
        <f>SUM(J209:L209)</f>
        <v>3240500</v>
      </c>
      <c r="J209" s="490">
        <v>2403932</v>
      </c>
      <c r="K209" s="55">
        <f t="shared" si="560"/>
        <v>812529</v>
      </c>
      <c r="L209" s="55">
        <f t="shared" si="561"/>
        <v>24039</v>
      </c>
      <c r="M209" s="55">
        <v>0</v>
      </c>
      <c r="N209" s="631">
        <v>3.45</v>
      </c>
      <c r="O209" s="440">
        <f t="shared" si="562"/>
        <v>0</v>
      </c>
      <c r="P209" s="325">
        <v>0</v>
      </c>
      <c r="Q209" s="325">
        <v>0</v>
      </c>
      <c r="R209" s="325">
        <v>0</v>
      </c>
      <c r="S209" s="325">
        <v>0</v>
      </c>
      <c r="T209" s="325">
        <v>0</v>
      </c>
      <c r="U209" s="492">
        <f t="shared" si="563"/>
        <v>0</v>
      </c>
      <c r="V209" s="325">
        <v>0</v>
      </c>
      <c r="W209" s="325">
        <v>0</v>
      </c>
      <c r="X209" s="325">
        <v>0</v>
      </c>
      <c r="Y209" s="492">
        <f t="shared" si="564"/>
        <v>0</v>
      </c>
      <c r="Z209" s="492">
        <f t="shared" si="565"/>
        <v>0</v>
      </c>
      <c r="AA209" s="494">
        <f t="shared" si="566"/>
        <v>0</v>
      </c>
      <c r="AB209" s="494">
        <f t="shared" si="567"/>
        <v>0</v>
      </c>
      <c r="AC209" s="492">
        <v>0</v>
      </c>
      <c r="AD209" s="789">
        <f t="shared" si="568"/>
        <v>0</v>
      </c>
      <c r="AE209" s="715">
        <v>0</v>
      </c>
      <c r="AF209" s="326">
        <v>0</v>
      </c>
      <c r="AG209" s="326">
        <v>0</v>
      </c>
      <c r="AH209" s="326">
        <v>0</v>
      </c>
      <c r="AI209" s="326">
        <v>0</v>
      </c>
      <c r="AJ209" s="326">
        <v>0</v>
      </c>
      <c r="AK209" s="626">
        <f t="shared" si="569"/>
        <v>0</v>
      </c>
      <c r="AL209" s="493">
        <f>I209+AD209</f>
        <v>3240500</v>
      </c>
      <c r="AM209" s="492">
        <f>J209+U209</f>
        <v>2403932</v>
      </c>
      <c r="AN209" s="492">
        <f t="shared" si="570"/>
        <v>0</v>
      </c>
      <c r="AO209" s="492">
        <f t="shared" si="571"/>
        <v>812529</v>
      </c>
      <c r="AP209" s="492">
        <f t="shared" si="571"/>
        <v>24039</v>
      </c>
      <c r="AQ209" s="492">
        <v>0</v>
      </c>
      <c r="AR209" s="491">
        <f t="shared" si="572"/>
        <v>3.45</v>
      </c>
    </row>
    <row r="210" spans="1:44" s="152" customFormat="1" ht="12.75" customHeight="1" x14ac:dyDescent="0.2">
      <c r="A210" s="140">
        <v>47</v>
      </c>
      <c r="B210" s="141">
        <v>4491</v>
      </c>
      <c r="C210" s="141">
        <v>650050517</v>
      </c>
      <c r="D210" s="141">
        <v>72742437</v>
      </c>
      <c r="E210" s="139" t="s">
        <v>228</v>
      </c>
      <c r="F210" s="141">
        <v>3117</v>
      </c>
      <c r="G210" s="117" t="s">
        <v>278</v>
      </c>
      <c r="H210" s="565" t="s">
        <v>263</v>
      </c>
      <c r="I210" s="586">
        <f>SUM(J210:L210)</f>
        <v>0</v>
      </c>
      <c r="J210" s="490">
        <v>0</v>
      </c>
      <c r="K210" s="55">
        <f t="shared" si="560"/>
        <v>0</v>
      </c>
      <c r="L210" s="55">
        <f t="shared" si="561"/>
        <v>0</v>
      </c>
      <c r="M210" s="55">
        <v>0</v>
      </c>
      <c r="N210" s="631">
        <v>0</v>
      </c>
      <c r="O210" s="440">
        <f t="shared" si="562"/>
        <v>0</v>
      </c>
      <c r="P210" s="325">
        <v>297636</v>
      </c>
      <c r="Q210" s="325">
        <v>0</v>
      </c>
      <c r="R210" s="325">
        <v>0</v>
      </c>
      <c r="S210" s="325">
        <v>0</v>
      </c>
      <c r="T210" s="325">
        <v>0</v>
      </c>
      <c r="U210" s="492">
        <f t="shared" si="563"/>
        <v>297636</v>
      </c>
      <c r="V210" s="325">
        <v>0</v>
      </c>
      <c r="W210" s="325">
        <v>0</v>
      </c>
      <c r="X210" s="325">
        <v>0</v>
      </c>
      <c r="Y210" s="492">
        <f t="shared" si="564"/>
        <v>0</v>
      </c>
      <c r="Z210" s="492">
        <f t="shared" si="565"/>
        <v>297636</v>
      </c>
      <c r="AA210" s="494">
        <f t="shared" si="566"/>
        <v>100601</v>
      </c>
      <c r="AB210" s="494">
        <f t="shared" si="567"/>
        <v>2976</v>
      </c>
      <c r="AC210" s="492">
        <v>0</v>
      </c>
      <c r="AD210" s="789">
        <f t="shared" si="568"/>
        <v>401213</v>
      </c>
      <c r="AE210" s="715">
        <v>0</v>
      </c>
      <c r="AF210" s="326">
        <v>0.75</v>
      </c>
      <c r="AG210" s="326">
        <v>0</v>
      </c>
      <c r="AH210" s="326">
        <v>0</v>
      </c>
      <c r="AI210" s="326">
        <v>0</v>
      </c>
      <c r="AJ210" s="326">
        <v>0</v>
      </c>
      <c r="AK210" s="626">
        <f t="shared" si="569"/>
        <v>0.75</v>
      </c>
      <c r="AL210" s="493">
        <f>I210+AD210</f>
        <v>401213</v>
      </c>
      <c r="AM210" s="492">
        <f>J210+U210</f>
        <v>297636</v>
      </c>
      <c r="AN210" s="492">
        <f t="shared" si="570"/>
        <v>0</v>
      </c>
      <c r="AO210" s="492">
        <f t="shared" si="571"/>
        <v>100601</v>
      </c>
      <c r="AP210" s="492">
        <f t="shared" si="571"/>
        <v>2976</v>
      </c>
      <c r="AQ210" s="492">
        <v>0</v>
      </c>
      <c r="AR210" s="491">
        <f t="shared" si="572"/>
        <v>0.75</v>
      </c>
    </row>
    <row r="211" spans="1:44" s="152" customFormat="1" ht="12.75" customHeight="1" x14ac:dyDescent="0.2">
      <c r="A211" s="140">
        <v>47</v>
      </c>
      <c r="B211" s="141">
        <v>4491</v>
      </c>
      <c r="C211" s="141">
        <v>650050517</v>
      </c>
      <c r="D211" s="141">
        <v>72742437</v>
      </c>
      <c r="E211" s="139" t="s">
        <v>228</v>
      </c>
      <c r="F211" s="141">
        <v>3143</v>
      </c>
      <c r="G211" s="117" t="s">
        <v>794</v>
      </c>
      <c r="H211" s="157" t="s">
        <v>262</v>
      </c>
      <c r="I211" s="586">
        <f>SUM(J211:L211)</f>
        <v>721323</v>
      </c>
      <c r="J211" s="490">
        <v>535106</v>
      </c>
      <c r="K211" s="55">
        <f t="shared" si="560"/>
        <v>180866</v>
      </c>
      <c r="L211" s="55">
        <f t="shared" si="561"/>
        <v>5351</v>
      </c>
      <c r="M211" s="55">
        <v>0</v>
      </c>
      <c r="N211" s="631">
        <v>1</v>
      </c>
      <c r="O211" s="440">
        <f t="shared" si="562"/>
        <v>0</v>
      </c>
      <c r="P211" s="325">
        <v>0</v>
      </c>
      <c r="Q211" s="325">
        <v>0</v>
      </c>
      <c r="R211" s="325">
        <v>0</v>
      </c>
      <c r="S211" s="325">
        <v>0</v>
      </c>
      <c r="T211" s="325">
        <v>0</v>
      </c>
      <c r="U211" s="492">
        <f t="shared" si="563"/>
        <v>0</v>
      </c>
      <c r="V211" s="325">
        <v>0</v>
      </c>
      <c r="W211" s="325">
        <v>0</v>
      </c>
      <c r="X211" s="325">
        <v>0</v>
      </c>
      <c r="Y211" s="492">
        <f t="shared" si="564"/>
        <v>0</v>
      </c>
      <c r="Z211" s="492">
        <f t="shared" si="565"/>
        <v>0</v>
      </c>
      <c r="AA211" s="494">
        <f t="shared" si="566"/>
        <v>0</v>
      </c>
      <c r="AB211" s="494">
        <f t="shared" si="567"/>
        <v>0</v>
      </c>
      <c r="AC211" s="492">
        <v>0</v>
      </c>
      <c r="AD211" s="789">
        <f t="shared" si="568"/>
        <v>0</v>
      </c>
      <c r="AE211" s="715">
        <v>0</v>
      </c>
      <c r="AF211" s="326">
        <v>0</v>
      </c>
      <c r="AG211" s="326">
        <v>0</v>
      </c>
      <c r="AH211" s="326">
        <v>0</v>
      </c>
      <c r="AI211" s="326">
        <v>0</v>
      </c>
      <c r="AJ211" s="326">
        <v>0</v>
      </c>
      <c r="AK211" s="626">
        <f t="shared" si="569"/>
        <v>0</v>
      </c>
      <c r="AL211" s="493">
        <f>I211+AD211</f>
        <v>721323</v>
      </c>
      <c r="AM211" s="492">
        <f>J211+U211</f>
        <v>535106</v>
      </c>
      <c r="AN211" s="492">
        <f t="shared" si="570"/>
        <v>0</v>
      </c>
      <c r="AO211" s="492">
        <f t="shared" si="571"/>
        <v>180866</v>
      </c>
      <c r="AP211" s="492">
        <f t="shared" si="571"/>
        <v>5351</v>
      </c>
      <c r="AQ211" s="492">
        <v>0</v>
      </c>
      <c r="AR211" s="491">
        <f t="shared" si="572"/>
        <v>1</v>
      </c>
    </row>
    <row r="212" spans="1:44" s="152" customFormat="1" ht="12.75" customHeight="1" x14ac:dyDescent="0.2">
      <c r="A212" s="107">
        <v>47</v>
      </c>
      <c r="B212" s="15">
        <v>4491</v>
      </c>
      <c r="C212" s="15">
        <v>650050517</v>
      </c>
      <c r="D212" s="15">
        <v>72742437</v>
      </c>
      <c r="E212" s="116" t="s">
        <v>229</v>
      </c>
      <c r="F212" s="15"/>
      <c r="G212" s="106"/>
      <c r="H212" s="560"/>
      <c r="I212" s="794">
        <f t="shared" ref="I212:AR212" si="573">SUM(I208:I211)</f>
        <v>5655549</v>
      </c>
      <c r="J212" s="343">
        <f t="shared" si="573"/>
        <v>4195511</v>
      </c>
      <c r="K212" s="343">
        <f t="shared" si="573"/>
        <v>1418083</v>
      </c>
      <c r="L212" s="343">
        <f t="shared" si="573"/>
        <v>41955</v>
      </c>
      <c r="M212" s="343">
        <f t="shared" si="573"/>
        <v>0</v>
      </c>
      <c r="N212" s="35">
        <f t="shared" si="573"/>
        <v>6.45</v>
      </c>
      <c r="O212" s="346">
        <f t="shared" si="573"/>
        <v>-6000</v>
      </c>
      <c r="P212" s="343">
        <f t="shared" si="573"/>
        <v>297636</v>
      </c>
      <c r="Q212" s="343">
        <f t="shared" si="573"/>
        <v>0</v>
      </c>
      <c r="R212" s="343">
        <f t="shared" si="573"/>
        <v>0</v>
      </c>
      <c r="S212" s="343">
        <f t="shared" si="573"/>
        <v>0</v>
      </c>
      <c r="T212" s="343">
        <f t="shared" si="573"/>
        <v>0</v>
      </c>
      <c r="U212" s="343">
        <f t="shared" si="573"/>
        <v>291636</v>
      </c>
      <c r="V212" s="343">
        <f t="shared" si="573"/>
        <v>6000</v>
      </c>
      <c r="W212" s="343">
        <f t="shared" si="573"/>
        <v>0</v>
      </c>
      <c r="X212" s="343">
        <f t="shared" si="573"/>
        <v>0</v>
      </c>
      <c r="Y212" s="343">
        <f t="shared" si="573"/>
        <v>6000</v>
      </c>
      <c r="Z212" s="343">
        <f t="shared" si="573"/>
        <v>297636</v>
      </c>
      <c r="AA212" s="343">
        <f t="shared" si="573"/>
        <v>100601</v>
      </c>
      <c r="AB212" s="343">
        <f t="shared" si="573"/>
        <v>2916</v>
      </c>
      <c r="AC212" s="343">
        <f t="shared" si="573"/>
        <v>0</v>
      </c>
      <c r="AD212" s="799">
        <f t="shared" si="573"/>
        <v>401153</v>
      </c>
      <c r="AE212" s="803">
        <f t="shared" si="573"/>
        <v>-0.01</v>
      </c>
      <c r="AF212" s="344">
        <f t="shared" si="573"/>
        <v>0.75</v>
      </c>
      <c r="AG212" s="344">
        <f t="shared" si="573"/>
        <v>0</v>
      </c>
      <c r="AH212" s="344">
        <f t="shared" si="573"/>
        <v>0</v>
      </c>
      <c r="AI212" s="344">
        <f t="shared" si="573"/>
        <v>0</v>
      </c>
      <c r="AJ212" s="344">
        <f t="shared" si="573"/>
        <v>0</v>
      </c>
      <c r="AK212" s="35">
        <f t="shared" si="573"/>
        <v>0.74</v>
      </c>
      <c r="AL212" s="346">
        <f t="shared" si="573"/>
        <v>6056702</v>
      </c>
      <c r="AM212" s="343">
        <f t="shared" si="573"/>
        <v>4487147</v>
      </c>
      <c r="AN212" s="343">
        <f t="shared" si="573"/>
        <v>6000</v>
      </c>
      <c r="AO212" s="343">
        <f t="shared" si="573"/>
        <v>1518684</v>
      </c>
      <c r="AP212" s="343">
        <f t="shared" si="573"/>
        <v>44871</v>
      </c>
      <c r="AQ212" s="343">
        <f t="shared" si="573"/>
        <v>0</v>
      </c>
      <c r="AR212" s="344">
        <f t="shared" si="573"/>
        <v>7.19</v>
      </c>
    </row>
    <row r="213" spans="1:44" s="152" customFormat="1" ht="12.75" customHeight="1" x14ac:dyDescent="0.2">
      <c r="A213" s="140">
        <v>48</v>
      </c>
      <c r="B213" s="141">
        <v>4465</v>
      </c>
      <c r="C213" s="141">
        <v>600074757</v>
      </c>
      <c r="D213" s="141">
        <v>46750428</v>
      </c>
      <c r="E213" s="139" t="s">
        <v>230</v>
      </c>
      <c r="F213" s="141">
        <v>3111</v>
      </c>
      <c r="G213" s="117" t="s">
        <v>277</v>
      </c>
      <c r="H213" s="565" t="s">
        <v>262</v>
      </c>
      <c r="I213" s="586">
        <f>SUM(J213:L213)</f>
        <v>8143788</v>
      </c>
      <c r="J213" s="490">
        <v>6041386</v>
      </c>
      <c r="K213" s="55">
        <f t="shared" ref="K213:K216" si="574">ROUND(J213*33.8%,0)</f>
        <v>2041988</v>
      </c>
      <c r="L213" s="55">
        <f t="shared" ref="L213:L216" si="575">ROUND(J213*1%,0)</f>
        <v>60414</v>
      </c>
      <c r="M213" s="55">
        <v>0</v>
      </c>
      <c r="N213" s="631">
        <v>10</v>
      </c>
      <c r="O213" s="445">
        <f t="shared" ref="O213:O216" si="576">V213*-1</f>
        <v>0</v>
      </c>
      <c r="P213" s="325">
        <v>0</v>
      </c>
      <c r="Q213" s="325">
        <v>0</v>
      </c>
      <c r="R213" s="325">
        <v>0</v>
      </c>
      <c r="S213" s="325">
        <v>0</v>
      </c>
      <c r="T213" s="325">
        <v>0</v>
      </c>
      <c r="U213" s="492">
        <f t="shared" ref="U213:U216" si="577">O213+P213+Q213+R213+S213+T213</f>
        <v>0</v>
      </c>
      <c r="V213" s="325">
        <v>0</v>
      </c>
      <c r="W213" s="325">
        <v>0</v>
      </c>
      <c r="X213" s="325">
        <v>0</v>
      </c>
      <c r="Y213" s="492">
        <f t="shared" ref="Y213:Y216" si="578">V213+W213+X213</f>
        <v>0</v>
      </c>
      <c r="Z213" s="492">
        <f t="shared" ref="Z213:Z216" si="579">U213+Y213</f>
        <v>0</v>
      </c>
      <c r="AA213" s="494">
        <f t="shared" ref="AA213:AA216" si="580">ROUND((U213+Y213)*33.8%,0)</f>
        <v>0</v>
      </c>
      <c r="AB213" s="494">
        <f t="shared" ref="AB213:AB216" si="581">ROUND(U213*1%,0)</f>
        <v>0</v>
      </c>
      <c r="AC213" s="492">
        <v>0</v>
      </c>
      <c r="AD213" s="789">
        <f t="shared" ref="AD213:AD216" si="582">Z213+AA213+AB213+AC213</f>
        <v>0</v>
      </c>
      <c r="AE213" s="715">
        <v>0</v>
      </c>
      <c r="AF213" s="326">
        <v>0</v>
      </c>
      <c r="AG213" s="326">
        <v>0</v>
      </c>
      <c r="AH213" s="326">
        <v>0</v>
      </c>
      <c r="AI213" s="326">
        <v>0</v>
      </c>
      <c r="AJ213" s="326">
        <v>0</v>
      </c>
      <c r="AK213" s="626">
        <f t="shared" ref="AK213:AK216" si="583">SUM(AE213:AJ213)</f>
        <v>0</v>
      </c>
      <c r="AL213" s="493">
        <f>I213+AD213</f>
        <v>8143788</v>
      </c>
      <c r="AM213" s="492">
        <f>J213+U213</f>
        <v>6041386</v>
      </c>
      <c r="AN213" s="492">
        <f t="shared" ref="AN213:AN216" si="584">Y213</f>
        <v>0</v>
      </c>
      <c r="AO213" s="492">
        <f t="shared" ref="AO213:AP216" si="585">K213+AA213</f>
        <v>2041988</v>
      </c>
      <c r="AP213" s="492">
        <f t="shared" si="585"/>
        <v>60414</v>
      </c>
      <c r="AQ213" s="492">
        <v>0</v>
      </c>
      <c r="AR213" s="491">
        <f t="shared" ref="AR213:AR216" si="586">N213+AK213</f>
        <v>10</v>
      </c>
    </row>
    <row r="214" spans="1:44" s="152" customFormat="1" ht="12.75" customHeight="1" x14ac:dyDescent="0.2">
      <c r="A214" s="140">
        <v>48</v>
      </c>
      <c r="B214" s="141">
        <v>4465</v>
      </c>
      <c r="C214" s="141">
        <v>600074757</v>
      </c>
      <c r="D214" s="141">
        <v>46750428</v>
      </c>
      <c r="E214" s="139" t="s">
        <v>230</v>
      </c>
      <c r="F214" s="141">
        <v>3113</v>
      </c>
      <c r="G214" s="117" t="s">
        <v>280</v>
      </c>
      <c r="H214" s="565" t="s">
        <v>262</v>
      </c>
      <c r="I214" s="586">
        <f>SUM(J214:L214)</f>
        <v>24671340</v>
      </c>
      <c r="J214" s="490">
        <v>18302181</v>
      </c>
      <c r="K214" s="55">
        <f t="shared" si="574"/>
        <v>6186137</v>
      </c>
      <c r="L214" s="55">
        <f t="shared" si="575"/>
        <v>183022</v>
      </c>
      <c r="M214" s="55">
        <v>0</v>
      </c>
      <c r="N214" s="631">
        <v>24.91</v>
      </c>
      <c r="O214" s="440">
        <f t="shared" si="576"/>
        <v>-72000</v>
      </c>
      <c r="P214" s="325">
        <v>0</v>
      </c>
      <c r="Q214" s="325">
        <v>0</v>
      </c>
      <c r="R214" s="325">
        <v>0</v>
      </c>
      <c r="S214" s="325">
        <v>0</v>
      </c>
      <c r="T214" s="325">
        <v>0</v>
      </c>
      <c r="U214" s="492">
        <f t="shared" si="577"/>
        <v>-72000</v>
      </c>
      <c r="V214" s="325">
        <v>72000</v>
      </c>
      <c r="W214" s="325">
        <v>0</v>
      </c>
      <c r="X214" s="325">
        <v>0</v>
      </c>
      <c r="Y214" s="492">
        <f t="shared" si="578"/>
        <v>72000</v>
      </c>
      <c r="Z214" s="492">
        <f t="shared" si="579"/>
        <v>0</v>
      </c>
      <c r="AA214" s="494">
        <f t="shared" si="580"/>
        <v>0</v>
      </c>
      <c r="AB214" s="494">
        <f t="shared" si="581"/>
        <v>-720</v>
      </c>
      <c r="AC214" s="492">
        <v>0</v>
      </c>
      <c r="AD214" s="789">
        <f t="shared" si="582"/>
        <v>-720</v>
      </c>
      <c r="AE214" s="715">
        <v>-0.12</v>
      </c>
      <c r="AF214" s="326">
        <v>0</v>
      </c>
      <c r="AG214" s="326">
        <v>0</v>
      </c>
      <c r="AH214" s="326">
        <v>0</v>
      </c>
      <c r="AI214" s="326">
        <v>0</v>
      </c>
      <c r="AJ214" s="326">
        <v>0</v>
      </c>
      <c r="AK214" s="626">
        <f t="shared" si="583"/>
        <v>-0.12</v>
      </c>
      <c r="AL214" s="493">
        <f>I214+AD214</f>
        <v>24670620</v>
      </c>
      <c r="AM214" s="492">
        <f>J214+U214</f>
        <v>18230181</v>
      </c>
      <c r="AN214" s="492">
        <f t="shared" si="584"/>
        <v>72000</v>
      </c>
      <c r="AO214" s="492">
        <f t="shared" si="585"/>
        <v>6186137</v>
      </c>
      <c r="AP214" s="492">
        <f t="shared" si="585"/>
        <v>182302</v>
      </c>
      <c r="AQ214" s="492">
        <v>0</v>
      </c>
      <c r="AR214" s="491">
        <f t="shared" si="586"/>
        <v>24.79</v>
      </c>
    </row>
    <row r="215" spans="1:44" s="152" customFormat="1" ht="12.75" customHeight="1" x14ac:dyDescent="0.2">
      <c r="A215" s="140">
        <v>48</v>
      </c>
      <c r="B215" s="141">
        <v>4465</v>
      </c>
      <c r="C215" s="141">
        <v>600074757</v>
      </c>
      <c r="D215" s="141">
        <v>46750428</v>
      </c>
      <c r="E215" s="139" t="s">
        <v>230</v>
      </c>
      <c r="F215" s="141">
        <v>3113</v>
      </c>
      <c r="G215" s="117" t="s">
        <v>278</v>
      </c>
      <c r="H215" s="565" t="s">
        <v>263</v>
      </c>
      <c r="I215" s="586">
        <f>SUM(J215:L215)</f>
        <v>0</v>
      </c>
      <c r="J215" s="490">
        <v>0</v>
      </c>
      <c r="K215" s="55">
        <f t="shared" si="574"/>
        <v>0</v>
      </c>
      <c r="L215" s="55">
        <f t="shared" si="575"/>
        <v>0</v>
      </c>
      <c r="M215" s="55">
        <v>0</v>
      </c>
      <c r="N215" s="631">
        <v>0</v>
      </c>
      <c r="O215" s="440">
        <f t="shared" si="576"/>
        <v>0</v>
      </c>
      <c r="P215" s="325">
        <f>1609456</f>
        <v>1609456</v>
      </c>
      <c r="Q215" s="325">
        <v>0</v>
      </c>
      <c r="R215" s="325">
        <v>0</v>
      </c>
      <c r="S215" s="325">
        <v>0</v>
      </c>
      <c r="T215" s="325">
        <v>0</v>
      </c>
      <c r="U215" s="492">
        <f t="shared" si="577"/>
        <v>1609456</v>
      </c>
      <c r="V215" s="325">
        <v>0</v>
      </c>
      <c r="W215" s="325">
        <v>0</v>
      </c>
      <c r="X215" s="325">
        <v>0</v>
      </c>
      <c r="Y215" s="492">
        <f t="shared" si="578"/>
        <v>0</v>
      </c>
      <c r="Z215" s="492">
        <f t="shared" si="579"/>
        <v>1609456</v>
      </c>
      <c r="AA215" s="494">
        <f t="shared" si="580"/>
        <v>543996</v>
      </c>
      <c r="AB215" s="494">
        <f t="shared" si="581"/>
        <v>16095</v>
      </c>
      <c r="AC215" s="492">
        <v>0</v>
      </c>
      <c r="AD215" s="789">
        <f t="shared" si="582"/>
        <v>2169547</v>
      </c>
      <c r="AE215" s="715">
        <v>0</v>
      </c>
      <c r="AF215" s="326">
        <f>4.06</f>
        <v>4.0599999999999996</v>
      </c>
      <c r="AG215" s="326">
        <v>0</v>
      </c>
      <c r="AH215" s="326">
        <v>0</v>
      </c>
      <c r="AI215" s="326">
        <v>0</v>
      </c>
      <c r="AJ215" s="326">
        <v>0</v>
      </c>
      <c r="AK215" s="626">
        <f t="shared" si="583"/>
        <v>4.0599999999999996</v>
      </c>
      <c r="AL215" s="493">
        <f>I215+AD215</f>
        <v>2169547</v>
      </c>
      <c r="AM215" s="492">
        <f>J215+U215</f>
        <v>1609456</v>
      </c>
      <c r="AN215" s="492">
        <f t="shared" si="584"/>
        <v>0</v>
      </c>
      <c r="AO215" s="492">
        <f t="shared" si="585"/>
        <v>543996</v>
      </c>
      <c r="AP215" s="492">
        <f t="shared" si="585"/>
        <v>16095</v>
      </c>
      <c r="AQ215" s="492">
        <v>0</v>
      </c>
      <c r="AR215" s="491">
        <f t="shared" si="586"/>
        <v>4.0599999999999996</v>
      </c>
    </row>
    <row r="216" spans="1:44" s="152" customFormat="1" ht="12.75" customHeight="1" x14ac:dyDescent="0.2">
      <c r="A216" s="140">
        <v>48</v>
      </c>
      <c r="B216" s="141">
        <v>4465</v>
      </c>
      <c r="C216" s="141">
        <v>600074757</v>
      </c>
      <c r="D216" s="141">
        <v>46750428</v>
      </c>
      <c r="E216" s="139" t="s">
        <v>230</v>
      </c>
      <c r="F216" s="141">
        <v>3143</v>
      </c>
      <c r="G216" s="117" t="s">
        <v>794</v>
      </c>
      <c r="H216" s="157" t="s">
        <v>262</v>
      </c>
      <c r="I216" s="586">
        <f>SUM(J216:L216)</f>
        <v>2622592</v>
      </c>
      <c r="J216" s="490">
        <v>1945543</v>
      </c>
      <c r="K216" s="55">
        <f t="shared" si="574"/>
        <v>657594</v>
      </c>
      <c r="L216" s="55">
        <f t="shared" si="575"/>
        <v>19455</v>
      </c>
      <c r="M216" s="55">
        <v>0</v>
      </c>
      <c r="N216" s="631">
        <v>3.57</v>
      </c>
      <c r="O216" s="440">
        <f t="shared" si="576"/>
        <v>-7200</v>
      </c>
      <c r="P216" s="325">
        <v>0</v>
      </c>
      <c r="Q216" s="325">
        <v>0</v>
      </c>
      <c r="R216" s="325">
        <v>0</v>
      </c>
      <c r="S216" s="325">
        <v>0</v>
      </c>
      <c r="T216" s="325">
        <v>0</v>
      </c>
      <c r="U216" s="492">
        <f t="shared" si="577"/>
        <v>-7200</v>
      </c>
      <c r="V216" s="325">
        <v>7200</v>
      </c>
      <c r="W216" s="325">
        <v>0</v>
      </c>
      <c r="X216" s="325">
        <v>0</v>
      </c>
      <c r="Y216" s="492">
        <f t="shared" si="578"/>
        <v>7200</v>
      </c>
      <c r="Z216" s="492">
        <f t="shared" si="579"/>
        <v>0</v>
      </c>
      <c r="AA216" s="494">
        <f t="shared" si="580"/>
        <v>0</v>
      </c>
      <c r="AB216" s="494">
        <f t="shared" si="581"/>
        <v>-72</v>
      </c>
      <c r="AC216" s="492">
        <v>0</v>
      </c>
      <c r="AD216" s="789">
        <f t="shared" si="582"/>
        <v>-72</v>
      </c>
      <c r="AE216" s="715">
        <v>0</v>
      </c>
      <c r="AF216" s="326">
        <v>0</v>
      </c>
      <c r="AG216" s="326">
        <v>0</v>
      </c>
      <c r="AH216" s="326">
        <v>0</v>
      </c>
      <c r="AI216" s="326">
        <v>0</v>
      </c>
      <c r="AJ216" s="326">
        <v>0</v>
      </c>
      <c r="AK216" s="626">
        <f t="shared" si="583"/>
        <v>0</v>
      </c>
      <c r="AL216" s="493">
        <f>I216+AD216</f>
        <v>2622520</v>
      </c>
      <c r="AM216" s="492">
        <f>J216+U216</f>
        <v>1938343</v>
      </c>
      <c r="AN216" s="492">
        <f t="shared" si="584"/>
        <v>7200</v>
      </c>
      <c r="AO216" s="492">
        <f t="shared" si="585"/>
        <v>657594</v>
      </c>
      <c r="AP216" s="492">
        <f t="shared" si="585"/>
        <v>19383</v>
      </c>
      <c r="AQ216" s="492">
        <v>0</v>
      </c>
      <c r="AR216" s="491">
        <f t="shared" si="586"/>
        <v>3.57</v>
      </c>
    </row>
    <row r="217" spans="1:44" s="152" customFormat="1" ht="12.75" customHeight="1" x14ac:dyDescent="0.2">
      <c r="A217" s="107">
        <v>48</v>
      </c>
      <c r="B217" s="15">
        <v>4465</v>
      </c>
      <c r="C217" s="15">
        <v>600074757</v>
      </c>
      <c r="D217" s="15">
        <v>46750428</v>
      </c>
      <c r="E217" s="116" t="s">
        <v>231</v>
      </c>
      <c r="F217" s="15"/>
      <c r="G217" s="106"/>
      <c r="H217" s="560"/>
      <c r="I217" s="794">
        <f t="shared" ref="I217:AR217" si="587">SUM(I213:I216)</f>
        <v>35437720</v>
      </c>
      <c r="J217" s="343">
        <f t="shared" si="587"/>
        <v>26289110</v>
      </c>
      <c r="K217" s="343">
        <f t="shared" si="587"/>
        <v>8885719</v>
      </c>
      <c r="L217" s="343">
        <f t="shared" si="587"/>
        <v>262891</v>
      </c>
      <c r="M217" s="343">
        <f t="shared" si="587"/>
        <v>0</v>
      </c>
      <c r="N217" s="35">
        <f t="shared" si="587"/>
        <v>38.479999999999997</v>
      </c>
      <c r="O217" s="346">
        <f t="shared" si="587"/>
        <v>-79200</v>
      </c>
      <c r="P217" s="343">
        <f t="shared" si="587"/>
        <v>1609456</v>
      </c>
      <c r="Q217" s="343">
        <f t="shared" si="587"/>
        <v>0</v>
      </c>
      <c r="R217" s="343">
        <f t="shared" si="587"/>
        <v>0</v>
      </c>
      <c r="S217" s="343">
        <f t="shared" si="587"/>
        <v>0</v>
      </c>
      <c r="T217" s="343">
        <f t="shared" si="587"/>
        <v>0</v>
      </c>
      <c r="U217" s="343">
        <f t="shared" si="587"/>
        <v>1530256</v>
      </c>
      <c r="V217" s="343">
        <f t="shared" si="587"/>
        <v>79200</v>
      </c>
      <c r="W217" s="343">
        <f t="shared" si="587"/>
        <v>0</v>
      </c>
      <c r="X217" s="343">
        <f t="shared" si="587"/>
        <v>0</v>
      </c>
      <c r="Y217" s="343">
        <f t="shared" si="587"/>
        <v>79200</v>
      </c>
      <c r="Z217" s="343">
        <f t="shared" si="587"/>
        <v>1609456</v>
      </c>
      <c r="AA217" s="343">
        <f t="shared" si="587"/>
        <v>543996</v>
      </c>
      <c r="AB217" s="343">
        <f t="shared" si="587"/>
        <v>15303</v>
      </c>
      <c r="AC217" s="343">
        <f t="shared" si="587"/>
        <v>0</v>
      </c>
      <c r="AD217" s="799">
        <f t="shared" si="587"/>
        <v>2168755</v>
      </c>
      <c r="AE217" s="803">
        <f t="shared" si="587"/>
        <v>-0.12</v>
      </c>
      <c r="AF217" s="344">
        <f t="shared" si="587"/>
        <v>4.0599999999999996</v>
      </c>
      <c r="AG217" s="344">
        <f t="shared" si="587"/>
        <v>0</v>
      </c>
      <c r="AH217" s="344">
        <f t="shared" si="587"/>
        <v>0</v>
      </c>
      <c r="AI217" s="344">
        <f t="shared" si="587"/>
        <v>0</v>
      </c>
      <c r="AJ217" s="344">
        <f t="shared" si="587"/>
        <v>0</v>
      </c>
      <c r="AK217" s="35">
        <f t="shared" si="587"/>
        <v>3.9399999999999995</v>
      </c>
      <c r="AL217" s="346">
        <f t="shared" si="587"/>
        <v>37606475</v>
      </c>
      <c r="AM217" s="343">
        <f t="shared" si="587"/>
        <v>27819366</v>
      </c>
      <c r="AN217" s="343">
        <f t="shared" si="587"/>
        <v>79200</v>
      </c>
      <c r="AO217" s="343">
        <f t="shared" si="587"/>
        <v>9429715</v>
      </c>
      <c r="AP217" s="343">
        <f t="shared" si="587"/>
        <v>278194</v>
      </c>
      <c r="AQ217" s="343">
        <f t="shared" si="587"/>
        <v>0</v>
      </c>
      <c r="AR217" s="344">
        <f t="shared" si="587"/>
        <v>42.42</v>
      </c>
    </row>
    <row r="218" spans="1:44" s="152" customFormat="1" x14ac:dyDescent="0.2">
      <c r="A218" s="140">
        <v>49</v>
      </c>
      <c r="B218" s="141">
        <v>4466</v>
      </c>
      <c r="C218" s="141">
        <v>650039017</v>
      </c>
      <c r="D218" s="141">
        <v>70982074</v>
      </c>
      <c r="E218" s="139" t="s">
        <v>232</v>
      </c>
      <c r="F218" s="141">
        <v>3111</v>
      </c>
      <c r="G218" s="117" t="s">
        <v>277</v>
      </c>
      <c r="H218" s="565" t="s">
        <v>262</v>
      </c>
      <c r="I218" s="586">
        <f>SUM(J218:L218)</f>
        <v>5874375</v>
      </c>
      <c r="J218" s="490">
        <v>4357845</v>
      </c>
      <c r="K218" s="55">
        <f t="shared" ref="K218:K221" si="588">ROUND(J218*33.8%,0)</f>
        <v>1472952</v>
      </c>
      <c r="L218" s="55">
        <f t="shared" ref="L218:L221" si="589">ROUND(J218*1%,0)</f>
        <v>43578</v>
      </c>
      <c r="M218" s="55">
        <v>0</v>
      </c>
      <c r="N218" s="631">
        <v>7.93</v>
      </c>
      <c r="O218" s="445">
        <f t="shared" ref="O218:O221" si="590">V218*-1</f>
        <v>0</v>
      </c>
      <c r="P218" s="325">
        <v>0</v>
      </c>
      <c r="Q218" s="325">
        <v>0</v>
      </c>
      <c r="R218" s="325">
        <v>0</v>
      </c>
      <c r="S218" s="325">
        <v>0</v>
      </c>
      <c r="T218" s="325">
        <v>0</v>
      </c>
      <c r="U218" s="492">
        <f t="shared" ref="U218:U221" si="591">O218+P218+Q218+R218+S218+T218</f>
        <v>0</v>
      </c>
      <c r="V218" s="325">
        <v>0</v>
      </c>
      <c r="W218" s="325">
        <v>0</v>
      </c>
      <c r="X218" s="325">
        <v>0</v>
      </c>
      <c r="Y218" s="492">
        <f t="shared" ref="Y218:Y221" si="592">V218+W218+X218</f>
        <v>0</v>
      </c>
      <c r="Z218" s="492">
        <f t="shared" ref="Z218:Z221" si="593">U218+Y218</f>
        <v>0</v>
      </c>
      <c r="AA218" s="494">
        <f t="shared" ref="AA218:AA221" si="594">ROUND((U218+Y218)*33.8%,0)</f>
        <v>0</v>
      </c>
      <c r="AB218" s="494">
        <f t="shared" ref="AB218:AB221" si="595">ROUND(U218*1%,0)</f>
        <v>0</v>
      </c>
      <c r="AC218" s="492">
        <v>0</v>
      </c>
      <c r="AD218" s="789">
        <f t="shared" ref="AD218:AD221" si="596">Z218+AA218+AB218+AC218</f>
        <v>0</v>
      </c>
      <c r="AE218" s="715">
        <v>0</v>
      </c>
      <c r="AF218" s="326">
        <v>0</v>
      </c>
      <c r="AG218" s="326">
        <v>0</v>
      </c>
      <c r="AH218" s="326">
        <v>0</v>
      </c>
      <c r="AI218" s="326">
        <v>0</v>
      </c>
      <c r="AJ218" s="326">
        <v>0</v>
      </c>
      <c r="AK218" s="626">
        <f t="shared" ref="AK218:AK221" si="597">SUM(AE218:AJ218)</f>
        <v>0</v>
      </c>
      <c r="AL218" s="493">
        <f>I218+AD218</f>
        <v>5874375</v>
      </c>
      <c r="AM218" s="492">
        <f>J218+U218</f>
        <v>4357845</v>
      </c>
      <c r="AN218" s="492">
        <f t="shared" ref="AN218:AN221" si="598">Y218</f>
        <v>0</v>
      </c>
      <c r="AO218" s="492">
        <f t="shared" ref="AO218:AP221" si="599">K218+AA218</f>
        <v>1472952</v>
      </c>
      <c r="AP218" s="492">
        <f t="shared" si="599"/>
        <v>43578</v>
      </c>
      <c r="AQ218" s="492">
        <v>0</v>
      </c>
      <c r="AR218" s="491">
        <f t="shared" ref="AR218:AR221" si="600">N218+AK218</f>
        <v>7.93</v>
      </c>
    </row>
    <row r="219" spans="1:44" s="152" customFormat="1" ht="12.75" customHeight="1" x14ac:dyDescent="0.2">
      <c r="A219" s="140">
        <v>49</v>
      </c>
      <c r="B219" s="141">
        <v>4466</v>
      </c>
      <c r="C219" s="141">
        <v>650039017</v>
      </c>
      <c r="D219" s="141">
        <v>70982074</v>
      </c>
      <c r="E219" s="135" t="s">
        <v>232</v>
      </c>
      <c r="F219" s="141">
        <v>3117</v>
      </c>
      <c r="G219" s="117" t="s">
        <v>280</v>
      </c>
      <c r="H219" s="565" t="s">
        <v>262</v>
      </c>
      <c r="I219" s="586">
        <f>SUM(J219:L219)</f>
        <v>6133936</v>
      </c>
      <c r="J219" s="490">
        <v>4550397</v>
      </c>
      <c r="K219" s="55">
        <f t="shared" si="588"/>
        <v>1538034</v>
      </c>
      <c r="L219" s="55">
        <f>ROUND(J219*1%,0)+1</f>
        <v>45505</v>
      </c>
      <c r="M219" s="55">
        <v>0</v>
      </c>
      <c r="N219" s="631">
        <v>6.55</v>
      </c>
      <c r="O219" s="440">
        <f t="shared" si="590"/>
        <v>0</v>
      </c>
      <c r="P219" s="325">
        <v>0</v>
      </c>
      <c r="Q219" s="325">
        <v>0</v>
      </c>
      <c r="R219" s="325">
        <v>0</v>
      </c>
      <c r="S219" s="325">
        <v>0</v>
      </c>
      <c r="T219" s="325">
        <v>0</v>
      </c>
      <c r="U219" s="492">
        <f t="shared" si="591"/>
        <v>0</v>
      </c>
      <c r="V219" s="325">
        <v>0</v>
      </c>
      <c r="W219" s="325">
        <v>0</v>
      </c>
      <c r="X219" s="325">
        <v>0</v>
      </c>
      <c r="Y219" s="492">
        <f t="shared" si="592"/>
        <v>0</v>
      </c>
      <c r="Z219" s="492">
        <f t="shared" si="593"/>
        <v>0</v>
      </c>
      <c r="AA219" s="494">
        <f t="shared" si="594"/>
        <v>0</v>
      </c>
      <c r="AB219" s="494">
        <f t="shared" si="595"/>
        <v>0</v>
      </c>
      <c r="AC219" s="492">
        <v>0</v>
      </c>
      <c r="AD219" s="789">
        <f t="shared" si="596"/>
        <v>0</v>
      </c>
      <c r="AE219" s="715">
        <v>0</v>
      </c>
      <c r="AF219" s="326">
        <v>0</v>
      </c>
      <c r="AG219" s="326">
        <v>0</v>
      </c>
      <c r="AH219" s="326">
        <v>0</v>
      </c>
      <c r="AI219" s="326">
        <v>0</v>
      </c>
      <c r="AJ219" s="326">
        <v>0</v>
      </c>
      <c r="AK219" s="626">
        <f t="shared" si="597"/>
        <v>0</v>
      </c>
      <c r="AL219" s="493">
        <f>I219+AD219</f>
        <v>6133936</v>
      </c>
      <c r="AM219" s="492">
        <f>J219+U219</f>
        <v>4550397</v>
      </c>
      <c r="AN219" s="492">
        <f t="shared" si="598"/>
        <v>0</v>
      </c>
      <c r="AO219" s="492">
        <f t="shared" si="599"/>
        <v>1538034</v>
      </c>
      <c r="AP219" s="492">
        <f t="shared" si="599"/>
        <v>45505</v>
      </c>
      <c r="AQ219" s="492">
        <v>0</v>
      </c>
      <c r="AR219" s="491">
        <f t="shared" si="600"/>
        <v>6.55</v>
      </c>
    </row>
    <row r="220" spans="1:44" s="152" customFormat="1" ht="12.75" customHeight="1" x14ac:dyDescent="0.2">
      <c r="A220" s="140">
        <v>49</v>
      </c>
      <c r="B220" s="141">
        <v>4466</v>
      </c>
      <c r="C220" s="141">
        <v>650039017</v>
      </c>
      <c r="D220" s="141">
        <v>70982074</v>
      </c>
      <c r="E220" s="135" t="s">
        <v>232</v>
      </c>
      <c r="F220" s="141">
        <v>3117</v>
      </c>
      <c r="G220" s="117" t="s">
        <v>278</v>
      </c>
      <c r="H220" s="565" t="s">
        <v>263</v>
      </c>
      <c r="I220" s="586">
        <f>SUM(J220:L220)</f>
        <v>0</v>
      </c>
      <c r="J220" s="490">
        <v>0</v>
      </c>
      <c r="K220" s="55">
        <f t="shared" si="588"/>
        <v>0</v>
      </c>
      <c r="L220" s="55">
        <f t="shared" si="589"/>
        <v>0</v>
      </c>
      <c r="M220" s="55">
        <v>0</v>
      </c>
      <c r="N220" s="631">
        <v>0</v>
      </c>
      <c r="O220" s="440">
        <f t="shared" si="590"/>
        <v>0</v>
      </c>
      <c r="P220" s="325">
        <f>1909807+78561</f>
        <v>1988368</v>
      </c>
      <c r="Q220" s="325">
        <v>0</v>
      </c>
      <c r="R220" s="325">
        <v>0</v>
      </c>
      <c r="S220" s="325">
        <v>0</v>
      </c>
      <c r="T220" s="325">
        <v>0</v>
      </c>
      <c r="U220" s="492">
        <f t="shared" si="591"/>
        <v>1988368</v>
      </c>
      <c r="V220" s="325">
        <v>0</v>
      </c>
      <c r="W220" s="325">
        <v>0</v>
      </c>
      <c r="X220" s="325">
        <v>0</v>
      </c>
      <c r="Y220" s="492">
        <f t="shared" si="592"/>
        <v>0</v>
      </c>
      <c r="Z220" s="492">
        <f t="shared" si="593"/>
        <v>1988368</v>
      </c>
      <c r="AA220" s="494">
        <f t="shared" si="594"/>
        <v>672068</v>
      </c>
      <c r="AB220" s="494">
        <f t="shared" si="595"/>
        <v>19884</v>
      </c>
      <c r="AC220" s="492">
        <v>0</v>
      </c>
      <c r="AD220" s="789">
        <f t="shared" si="596"/>
        <v>2680320</v>
      </c>
      <c r="AE220" s="715">
        <v>0</v>
      </c>
      <c r="AF220" s="326">
        <f>5.05+0.13</f>
        <v>5.18</v>
      </c>
      <c r="AG220" s="326">
        <v>0</v>
      </c>
      <c r="AH220" s="326">
        <v>0</v>
      </c>
      <c r="AI220" s="326">
        <v>0</v>
      </c>
      <c r="AJ220" s="326">
        <v>0</v>
      </c>
      <c r="AK220" s="626">
        <f t="shared" si="597"/>
        <v>5.18</v>
      </c>
      <c r="AL220" s="493">
        <f>I220+AD220</f>
        <v>2680320</v>
      </c>
      <c r="AM220" s="492">
        <f>J220+U220</f>
        <v>1988368</v>
      </c>
      <c r="AN220" s="492">
        <f t="shared" si="598"/>
        <v>0</v>
      </c>
      <c r="AO220" s="492">
        <f t="shared" si="599"/>
        <v>672068</v>
      </c>
      <c r="AP220" s="492">
        <f t="shared" si="599"/>
        <v>19884</v>
      </c>
      <c r="AQ220" s="492">
        <v>0</v>
      </c>
      <c r="AR220" s="491">
        <f t="shared" si="600"/>
        <v>5.18</v>
      </c>
    </row>
    <row r="221" spans="1:44" s="152" customFormat="1" x14ac:dyDescent="0.2">
      <c r="A221" s="140">
        <v>49</v>
      </c>
      <c r="B221" s="141">
        <v>4466</v>
      </c>
      <c r="C221" s="141">
        <v>650039017</v>
      </c>
      <c r="D221" s="141">
        <v>70982074</v>
      </c>
      <c r="E221" s="139" t="s">
        <v>232</v>
      </c>
      <c r="F221" s="141">
        <v>3143</v>
      </c>
      <c r="G221" s="117" t="s">
        <v>794</v>
      </c>
      <c r="H221" s="157" t="s">
        <v>262</v>
      </c>
      <c r="I221" s="586">
        <f>SUM(J221:L221)</f>
        <v>982329</v>
      </c>
      <c r="J221" s="490">
        <v>728731</v>
      </c>
      <c r="K221" s="55">
        <f t="shared" si="588"/>
        <v>246311</v>
      </c>
      <c r="L221" s="55">
        <f t="shared" si="589"/>
        <v>7287</v>
      </c>
      <c r="M221" s="55">
        <v>0</v>
      </c>
      <c r="N221" s="631">
        <v>1.4</v>
      </c>
      <c r="O221" s="440">
        <f t="shared" si="590"/>
        <v>-9000</v>
      </c>
      <c r="P221" s="325">
        <v>0</v>
      </c>
      <c r="Q221" s="325">
        <v>0</v>
      </c>
      <c r="R221" s="325">
        <v>0</v>
      </c>
      <c r="S221" s="325">
        <v>0</v>
      </c>
      <c r="T221" s="325">
        <v>0</v>
      </c>
      <c r="U221" s="492">
        <f t="shared" si="591"/>
        <v>-9000</v>
      </c>
      <c r="V221" s="325">
        <v>9000</v>
      </c>
      <c r="W221" s="325">
        <v>0</v>
      </c>
      <c r="X221" s="325">
        <v>0</v>
      </c>
      <c r="Y221" s="492">
        <f t="shared" si="592"/>
        <v>9000</v>
      </c>
      <c r="Z221" s="492">
        <f t="shared" si="593"/>
        <v>0</v>
      </c>
      <c r="AA221" s="494">
        <f t="shared" si="594"/>
        <v>0</v>
      </c>
      <c r="AB221" s="494">
        <f t="shared" si="595"/>
        <v>-90</v>
      </c>
      <c r="AC221" s="492">
        <v>0</v>
      </c>
      <c r="AD221" s="789">
        <f t="shared" si="596"/>
        <v>-90</v>
      </c>
      <c r="AE221" s="715">
        <v>0</v>
      </c>
      <c r="AF221" s="326">
        <v>0</v>
      </c>
      <c r="AG221" s="326">
        <v>0</v>
      </c>
      <c r="AH221" s="326">
        <v>0</v>
      </c>
      <c r="AI221" s="326">
        <v>0</v>
      </c>
      <c r="AJ221" s="326">
        <v>0</v>
      </c>
      <c r="AK221" s="626">
        <f t="shared" si="597"/>
        <v>0</v>
      </c>
      <c r="AL221" s="493">
        <f>I221+AD221</f>
        <v>982239</v>
      </c>
      <c r="AM221" s="492">
        <f>J221+U221</f>
        <v>719731</v>
      </c>
      <c r="AN221" s="492">
        <f t="shared" si="598"/>
        <v>9000</v>
      </c>
      <c r="AO221" s="492">
        <f t="shared" si="599"/>
        <v>246311</v>
      </c>
      <c r="AP221" s="492">
        <f t="shared" si="599"/>
        <v>7197</v>
      </c>
      <c r="AQ221" s="492">
        <v>0</v>
      </c>
      <c r="AR221" s="491">
        <f t="shared" si="600"/>
        <v>1.4</v>
      </c>
    </row>
    <row r="222" spans="1:44" s="152" customFormat="1" x14ac:dyDescent="0.2">
      <c r="A222" s="107">
        <v>49</v>
      </c>
      <c r="B222" s="15">
        <v>4466</v>
      </c>
      <c r="C222" s="15">
        <v>650039017</v>
      </c>
      <c r="D222" s="15">
        <v>70982074</v>
      </c>
      <c r="E222" s="116" t="s">
        <v>233</v>
      </c>
      <c r="F222" s="15"/>
      <c r="G222" s="106"/>
      <c r="H222" s="560"/>
      <c r="I222" s="794">
        <f t="shared" ref="I222:AR222" si="601">SUM(I218:I221)</f>
        <v>12990640</v>
      </c>
      <c r="J222" s="343">
        <f t="shared" si="601"/>
        <v>9636973</v>
      </c>
      <c r="K222" s="343">
        <f t="shared" si="601"/>
        <v>3257297</v>
      </c>
      <c r="L222" s="343">
        <f t="shared" si="601"/>
        <v>96370</v>
      </c>
      <c r="M222" s="343">
        <f t="shared" si="601"/>
        <v>0</v>
      </c>
      <c r="N222" s="35">
        <f t="shared" si="601"/>
        <v>15.88</v>
      </c>
      <c r="O222" s="346">
        <f t="shared" si="601"/>
        <v>-9000</v>
      </c>
      <c r="P222" s="343">
        <f t="shared" si="601"/>
        <v>1988368</v>
      </c>
      <c r="Q222" s="343">
        <f t="shared" si="601"/>
        <v>0</v>
      </c>
      <c r="R222" s="343">
        <f t="shared" si="601"/>
        <v>0</v>
      </c>
      <c r="S222" s="343">
        <f t="shared" si="601"/>
        <v>0</v>
      </c>
      <c r="T222" s="343">
        <f t="shared" si="601"/>
        <v>0</v>
      </c>
      <c r="U222" s="343">
        <f t="shared" si="601"/>
        <v>1979368</v>
      </c>
      <c r="V222" s="343">
        <f t="shared" si="601"/>
        <v>9000</v>
      </c>
      <c r="W222" s="343">
        <f t="shared" si="601"/>
        <v>0</v>
      </c>
      <c r="X222" s="343">
        <f t="shared" si="601"/>
        <v>0</v>
      </c>
      <c r="Y222" s="343">
        <f t="shared" si="601"/>
        <v>9000</v>
      </c>
      <c r="Z222" s="343">
        <f t="shared" si="601"/>
        <v>1988368</v>
      </c>
      <c r="AA222" s="343">
        <f t="shared" si="601"/>
        <v>672068</v>
      </c>
      <c r="AB222" s="343">
        <f t="shared" si="601"/>
        <v>19794</v>
      </c>
      <c r="AC222" s="343">
        <f t="shared" si="601"/>
        <v>0</v>
      </c>
      <c r="AD222" s="799">
        <f t="shared" si="601"/>
        <v>2680230</v>
      </c>
      <c r="AE222" s="803">
        <f t="shared" si="601"/>
        <v>0</v>
      </c>
      <c r="AF222" s="344">
        <f t="shared" si="601"/>
        <v>5.18</v>
      </c>
      <c r="AG222" s="344">
        <f t="shared" si="601"/>
        <v>0</v>
      </c>
      <c r="AH222" s="344">
        <f t="shared" si="601"/>
        <v>0</v>
      </c>
      <c r="AI222" s="344">
        <f t="shared" si="601"/>
        <v>0</v>
      </c>
      <c r="AJ222" s="344">
        <f t="shared" si="601"/>
        <v>0</v>
      </c>
      <c r="AK222" s="35">
        <f t="shared" si="601"/>
        <v>5.18</v>
      </c>
      <c r="AL222" s="346">
        <f t="shared" si="601"/>
        <v>15670870</v>
      </c>
      <c r="AM222" s="343">
        <f t="shared" si="601"/>
        <v>11616341</v>
      </c>
      <c r="AN222" s="343">
        <f t="shared" si="601"/>
        <v>9000</v>
      </c>
      <c r="AO222" s="343">
        <f t="shared" si="601"/>
        <v>3929365</v>
      </c>
      <c r="AP222" s="343">
        <f t="shared" si="601"/>
        <v>116164</v>
      </c>
      <c r="AQ222" s="343">
        <f t="shared" si="601"/>
        <v>0</v>
      </c>
      <c r="AR222" s="344">
        <f t="shared" si="601"/>
        <v>21.06</v>
      </c>
    </row>
    <row r="223" spans="1:44" s="152" customFormat="1" ht="12.75" customHeight="1" x14ac:dyDescent="0.2">
      <c r="A223" s="140">
        <v>50</v>
      </c>
      <c r="B223" s="141">
        <v>4470</v>
      </c>
      <c r="C223" s="141">
        <v>600075109</v>
      </c>
      <c r="D223" s="141">
        <v>70982112</v>
      </c>
      <c r="E223" s="139" t="s">
        <v>234</v>
      </c>
      <c r="F223" s="141">
        <v>3231</v>
      </c>
      <c r="G223" s="117" t="s">
        <v>281</v>
      </c>
      <c r="H223" s="565" t="s">
        <v>262</v>
      </c>
      <c r="I223" s="586">
        <f>SUM(J223:L223)</f>
        <v>10079142</v>
      </c>
      <c r="J223" s="490">
        <v>7477108</v>
      </c>
      <c r="K223" s="55">
        <f>ROUND(J223*33.8%,0)</f>
        <v>2527263</v>
      </c>
      <c r="L223" s="55">
        <f>ROUND(J223*1%,0)</f>
        <v>74771</v>
      </c>
      <c r="M223" s="55">
        <v>0</v>
      </c>
      <c r="N223" s="631">
        <v>11.23</v>
      </c>
      <c r="O223" s="445">
        <f>V223*-1</f>
        <v>0</v>
      </c>
      <c r="P223" s="325">
        <v>0</v>
      </c>
      <c r="Q223" s="325">
        <v>0</v>
      </c>
      <c r="R223" s="325">
        <v>0</v>
      </c>
      <c r="S223" s="325">
        <v>0</v>
      </c>
      <c r="T223" s="325">
        <v>0</v>
      </c>
      <c r="U223" s="492">
        <f>O223+P223+Q223+R223+S223+T223</f>
        <v>0</v>
      </c>
      <c r="V223" s="325">
        <v>0</v>
      </c>
      <c r="W223" s="325">
        <v>0</v>
      </c>
      <c r="X223" s="325">
        <v>0</v>
      </c>
      <c r="Y223" s="492">
        <f>V223+W223+X223</f>
        <v>0</v>
      </c>
      <c r="Z223" s="492">
        <f>U223+Y223</f>
        <v>0</v>
      </c>
      <c r="AA223" s="494">
        <f>ROUND((U223+Y223)*33.8%,0)</f>
        <v>0</v>
      </c>
      <c r="AB223" s="494">
        <f>ROUND(U223*1%,0)</f>
        <v>0</v>
      </c>
      <c r="AC223" s="492">
        <v>0</v>
      </c>
      <c r="AD223" s="789">
        <f>Z223+AA223+AB223+AC223</f>
        <v>0</v>
      </c>
      <c r="AE223" s="715">
        <v>0</v>
      </c>
      <c r="AF223" s="326">
        <v>0</v>
      </c>
      <c r="AG223" s="326">
        <v>0</v>
      </c>
      <c r="AH223" s="326">
        <v>0</v>
      </c>
      <c r="AI223" s="326">
        <v>0</v>
      </c>
      <c r="AJ223" s="326">
        <v>0</v>
      </c>
      <c r="AK223" s="626">
        <f>SUM(AE223:AJ223)</f>
        <v>0</v>
      </c>
      <c r="AL223" s="493">
        <f>I223+AD223</f>
        <v>10079142</v>
      </c>
      <c r="AM223" s="492">
        <f>J223+U223</f>
        <v>7477108</v>
      </c>
      <c r="AN223" s="492">
        <f>Y223</f>
        <v>0</v>
      </c>
      <c r="AO223" s="492">
        <f>K223+AA223</f>
        <v>2527263</v>
      </c>
      <c r="AP223" s="492">
        <f>L223+AB223</f>
        <v>74771</v>
      </c>
      <c r="AQ223" s="492">
        <v>0</v>
      </c>
      <c r="AR223" s="491">
        <f>N223+AK223</f>
        <v>11.23</v>
      </c>
    </row>
    <row r="224" spans="1:44" s="152" customFormat="1" ht="13.5" thickBot="1" x14ac:dyDescent="0.25">
      <c r="A224" s="111">
        <v>50</v>
      </c>
      <c r="B224" s="30">
        <v>4470</v>
      </c>
      <c r="C224" s="30">
        <v>600075109</v>
      </c>
      <c r="D224" s="30">
        <v>70982112</v>
      </c>
      <c r="E224" s="165" t="s">
        <v>235</v>
      </c>
      <c r="F224" s="30"/>
      <c r="G224" s="112"/>
      <c r="H224" s="561"/>
      <c r="I224" s="807">
        <f t="shared" ref="I224:AR224" si="602">SUM(I223)</f>
        <v>10079142</v>
      </c>
      <c r="J224" s="449">
        <f t="shared" si="602"/>
        <v>7477108</v>
      </c>
      <c r="K224" s="449">
        <f t="shared" si="602"/>
        <v>2527263</v>
      </c>
      <c r="L224" s="449">
        <f t="shared" si="602"/>
        <v>74771</v>
      </c>
      <c r="M224" s="449">
        <f t="shared" si="602"/>
        <v>0</v>
      </c>
      <c r="N224" s="808">
        <f t="shared" si="602"/>
        <v>11.23</v>
      </c>
      <c r="O224" s="448">
        <f t="shared" si="602"/>
        <v>0</v>
      </c>
      <c r="P224" s="449">
        <f t="shared" si="602"/>
        <v>0</v>
      </c>
      <c r="Q224" s="449">
        <f t="shared" si="602"/>
        <v>0</v>
      </c>
      <c r="R224" s="449">
        <f t="shared" si="602"/>
        <v>0</v>
      </c>
      <c r="S224" s="449">
        <f t="shared" si="602"/>
        <v>0</v>
      </c>
      <c r="T224" s="449">
        <f t="shared" si="602"/>
        <v>0</v>
      </c>
      <c r="U224" s="449">
        <f t="shared" si="602"/>
        <v>0</v>
      </c>
      <c r="V224" s="449">
        <f t="shared" si="602"/>
        <v>0</v>
      </c>
      <c r="W224" s="449">
        <f t="shared" si="602"/>
        <v>0</v>
      </c>
      <c r="X224" s="449">
        <f t="shared" si="602"/>
        <v>0</v>
      </c>
      <c r="Y224" s="449">
        <f t="shared" si="602"/>
        <v>0</v>
      </c>
      <c r="Z224" s="449">
        <f t="shared" si="602"/>
        <v>0</v>
      </c>
      <c r="AA224" s="449">
        <f t="shared" si="602"/>
        <v>0</v>
      </c>
      <c r="AB224" s="449">
        <f t="shared" si="602"/>
        <v>0</v>
      </c>
      <c r="AC224" s="449">
        <f t="shared" si="602"/>
        <v>0</v>
      </c>
      <c r="AD224" s="810">
        <f t="shared" si="602"/>
        <v>0</v>
      </c>
      <c r="AE224" s="812">
        <f t="shared" si="602"/>
        <v>0</v>
      </c>
      <c r="AF224" s="457">
        <f t="shared" si="602"/>
        <v>0</v>
      </c>
      <c r="AG224" s="457">
        <f t="shared" si="602"/>
        <v>0</v>
      </c>
      <c r="AH224" s="457">
        <f t="shared" si="602"/>
        <v>0</v>
      </c>
      <c r="AI224" s="457">
        <f t="shared" si="602"/>
        <v>0</v>
      </c>
      <c r="AJ224" s="457">
        <f t="shared" si="602"/>
        <v>0</v>
      </c>
      <c r="AK224" s="458">
        <f t="shared" si="602"/>
        <v>0</v>
      </c>
      <c r="AL224" s="448">
        <f t="shared" si="602"/>
        <v>10079142</v>
      </c>
      <c r="AM224" s="449">
        <f t="shared" si="602"/>
        <v>7477108</v>
      </c>
      <c r="AN224" s="449">
        <f t="shared" si="602"/>
        <v>0</v>
      </c>
      <c r="AO224" s="449">
        <f t="shared" si="602"/>
        <v>2527263</v>
      </c>
      <c r="AP224" s="449">
        <f t="shared" si="602"/>
        <v>74771</v>
      </c>
      <c r="AQ224" s="449">
        <f t="shared" si="602"/>
        <v>0</v>
      </c>
      <c r="AR224" s="450">
        <f t="shared" si="602"/>
        <v>11.23</v>
      </c>
    </row>
    <row r="225" spans="1:44" s="152" customFormat="1" ht="13.5" thickBot="1" x14ac:dyDescent="0.25">
      <c r="A225" s="113"/>
      <c r="B225" s="27"/>
      <c r="C225" s="27"/>
      <c r="D225" s="27"/>
      <c r="E225" s="57" t="s">
        <v>730</v>
      </c>
      <c r="F225" s="27"/>
      <c r="G225" s="114"/>
      <c r="H225" s="603"/>
      <c r="I225" s="451">
        <f>I13+I16+I20+I24+I27+I30+I33+I36+I41+I47+I53+I58+I63+I68+I72+I77+I87+I89+I92+I97+I100+I104+I109+I114+I116+I119+I124+I129+I134+I139+I142+I146+I151+I154+I158+I166+I168+I171+I176+I181+I184+I189+I192+I197+I202+I207+I212+I217+I222+I224</f>
        <v>879679496</v>
      </c>
      <c r="J225" s="601">
        <f t="shared" ref="J225:AD225" si="603">J13+J16+J20+J24+J27+J30+J33+J36+J41+J47+J53+J58+J63+J68+J72+J77+J87+J89+J92+J97+J100+J104+J109+J114+J116+J119+J124+J129+J134+J139+J142+J146+J151+J154+J158+J166+J168+J171+J176+J181+J184+J189+J192+J197+J202+J207+J212+J217+J222+J224</f>
        <v>652581227</v>
      </c>
      <c r="K225" s="601">
        <f t="shared" si="603"/>
        <v>220572456</v>
      </c>
      <c r="L225" s="601">
        <f t="shared" si="603"/>
        <v>6525813</v>
      </c>
      <c r="M225" s="601">
        <f t="shared" si="603"/>
        <v>0</v>
      </c>
      <c r="N225" s="602">
        <f t="shared" si="603"/>
        <v>978.3900000000001</v>
      </c>
      <c r="O225" s="809">
        <f t="shared" si="603"/>
        <v>-1403184</v>
      </c>
      <c r="P225" s="601">
        <f t="shared" si="603"/>
        <v>68967733</v>
      </c>
      <c r="Q225" s="601">
        <f t="shared" si="603"/>
        <v>911145</v>
      </c>
      <c r="R225" s="601">
        <f t="shared" si="603"/>
        <v>952487</v>
      </c>
      <c r="S225" s="601">
        <f t="shared" si="603"/>
        <v>0</v>
      </c>
      <c r="T225" s="601">
        <f t="shared" si="603"/>
        <v>43933</v>
      </c>
      <c r="U225" s="601">
        <f t="shared" si="603"/>
        <v>69472114</v>
      </c>
      <c r="V225" s="601">
        <f t="shared" si="603"/>
        <v>1403184</v>
      </c>
      <c r="W225" s="601">
        <f t="shared" si="603"/>
        <v>333600</v>
      </c>
      <c r="X225" s="601">
        <f t="shared" si="603"/>
        <v>0</v>
      </c>
      <c r="Y225" s="601">
        <f t="shared" si="603"/>
        <v>1736784</v>
      </c>
      <c r="Z225" s="601">
        <f t="shared" si="603"/>
        <v>71208898</v>
      </c>
      <c r="AA225" s="601">
        <f t="shared" si="603"/>
        <v>24068604</v>
      </c>
      <c r="AB225" s="601">
        <f t="shared" si="603"/>
        <v>694719</v>
      </c>
      <c r="AC225" s="601">
        <f t="shared" si="603"/>
        <v>0</v>
      </c>
      <c r="AD225" s="811">
        <f t="shared" si="603"/>
        <v>95972221</v>
      </c>
      <c r="AE225" s="813">
        <f>AE13+AE16+AE20+AE24+AE27+AE30+AE33+AE36+AE41+AE47+AE53+AE58+AE63+AE68+AE72+AE77+AE87+AE89+AE92+AE97+AE100+AE104+AE109+AE114+AE116+AE119+AE124+AE129+AE134+AE139+AE142+AE146+AE151+AE154+AE158+AE166++AE168+AE171+AE176+AE181+AE184+AE189+AE192+AE197+AE202+AE207+AE212+AE217+AE222+AE224</f>
        <v>-2.1200000000000006</v>
      </c>
      <c r="AF225" s="456">
        <f t="shared" ref="AF225:AK225" si="604">AF13+AF16+AF20+AF24+AF27+AF30+AF33+AF36+AF41+AF47+AF53+AF58+AF63+AF68+AF72+AF77+AF87+AF89+AF92+AF97+AF100+AF104+AF109+AF114+AF116+AF119+AF124+AF129+AF134+AF139+AF142+AF146+AF151+AF154+AF158+AF166++AF168+AF171+AF176+AF181+AF184+AF189+AF192+AF197+AF202+AF207+AF212+AF217+AF222+AF224</f>
        <v>175.98999999999998</v>
      </c>
      <c r="AG225" s="456">
        <f t="shared" si="604"/>
        <v>1.73</v>
      </c>
      <c r="AH225" s="456">
        <f t="shared" si="604"/>
        <v>1.2400000000000002</v>
      </c>
      <c r="AI225" s="456">
        <f t="shared" si="604"/>
        <v>0</v>
      </c>
      <c r="AJ225" s="456">
        <f t="shared" si="604"/>
        <v>0.09</v>
      </c>
      <c r="AK225" s="814">
        <f t="shared" si="604"/>
        <v>176.93</v>
      </c>
      <c r="AL225" s="809">
        <f>AL13+AL16+AL20+AL24+AL27+AL30+AL33+AL36+AL41+AL47+AL53+AL58+AL63+AL68+AL72+AL77+AL87+AL89+AL92+AL97+AL100+AL104+AL109+AL114+AL116+AL119+AL124+AL129+AL134+AL139+AL142+AL146+AL151+AL154+AL158+AL166++AL168+AL171+AL176+AL181+AL184+AL189+AL192+AL197+AL202+AL207+AL212+AL217+AL222+AL224</f>
        <v>975651717</v>
      </c>
      <c r="AM225" s="601">
        <f t="shared" ref="AM225:AR225" si="605">AM13+AM16+AM20+AM24+AM27+AM30+AM33+AM36+AM41+AM47+AM53+AM58+AM63+AM68+AM72+AM77+AM87+AM89+AM92+AM97+AM100+AM104+AM109+AM114+AM116+AM119+AM124+AM129+AM134+AM139+AM142+AM146+AM151+AM154+AM158+AM166++AM168+AM171+AM176+AM181+AM184+AM189+AM192+AM197+AM202+AM207+AM212+AM217+AM222+AM224</f>
        <v>722053341</v>
      </c>
      <c r="AN225" s="601">
        <f t="shared" si="605"/>
        <v>1736784</v>
      </c>
      <c r="AO225" s="601">
        <f t="shared" si="605"/>
        <v>244641060</v>
      </c>
      <c r="AP225" s="601">
        <f t="shared" si="605"/>
        <v>7220532</v>
      </c>
      <c r="AQ225" s="601">
        <f t="shared" si="605"/>
        <v>0</v>
      </c>
      <c r="AR225" s="602">
        <f t="shared" si="605"/>
        <v>1155.3200000000004</v>
      </c>
    </row>
    <row r="226" spans="1:44" s="152" customFormat="1" ht="12.75" customHeight="1" x14ac:dyDescent="0.2">
      <c r="D226" s="8"/>
      <c r="E226" s="4"/>
      <c r="F226" s="8"/>
      <c r="G226" s="17"/>
      <c r="H226" s="4"/>
      <c r="I226" s="328">
        <f>SUM(J225:M225)</f>
        <v>879679496</v>
      </c>
      <c r="J226" s="328"/>
      <c r="K226" s="328"/>
      <c r="L226" s="328"/>
      <c r="M226" s="328"/>
      <c r="N226" s="742"/>
      <c r="O226" s="328">
        <f>V225</f>
        <v>1403184</v>
      </c>
      <c r="P226" s="329"/>
      <c r="Q226" s="329"/>
      <c r="R226" s="329"/>
      <c r="S226" s="328"/>
      <c r="T226" s="329"/>
      <c r="U226" s="330">
        <f>SUM(O225:T225)</f>
        <v>69472114</v>
      </c>
      <c r="V226" s="330">
        <f>O225</f>
        <v>-1403184</v>
      </c>
      <c r="W226" s="331"/>
      <c r="X226" s="331"/>
      <c r="Y226" s="330">
        <f>SUM(V225:X225)</f>
        <v>1736784</v>
      </c>
      <c r="Z226" s="330">
        <f>U225+Y225</f>
        <v>71208898</v>
      </c>
      <c r="AA226" s="332"/>
      <c r="AB226" s="332"/>
      <c r="AC226" s="330"/>
      <c r="AD226" s="330">
        <f>SUM(Z225:AC225)</f>
        <v>95972221</v>
      </c>
      <c r="AE226" s="333"/>
      <c r="AF226" s="333"/>
      <c r="AG226" s="333"/>
      <c r="AH226" s="333"/>
      <c r="AI226" s="381"/>
      <c r="AJ226" s="333"/>
      <c r="AK226" s="381">
        <f>SUM(AE225:AJ225)</f>
        <v>176.92999999999998</v>
      </c>
      <c r="AL226" s="328">
        <f>SUM(AM225:AQ225)</f>
        <v>975651717</v>
      </c>
      <c r="AM226" s="328"/>
      <c r="AN226" s="58"/>
      <c r="AO226" s="330"/>
      <c r="AP226" s="330"/>
      <c r="AQ226" s="330"/>
      <c r="AR226" s="329"/>
    </row>
    <row r="227" spans="1:44" ht="13.5" thickBot="1" x14ac:dyDescent="0.25">
      <c r="D227" s="8"/>
      <c r="E227" s="4"/>
      <c r="F227" s="166"/>
      <c r="G227" s="17"/>
      <c r="H227" s="4"/>
      <c r="I227" s="328">
        <f>SUM(J228:M228)</f>
        <v>879679496</v>
      </c>
      <c r="J227" s="328"/>
      <c r="K227" s="328"/>
      <c r="L227" s="328"/>
      <c r="M227" s="328"/>
      <c r="N227" s="742"/>
      <c r="O227" s="328">
        <f>V228</f>
        <v>1403184</v>
      </c>
      <c r="P227" s="329"/>
      <c r="Q227" s="329"/>
      <c r="R227" s="329"/>
      <c r="S227" s="328"/>
      <c r="T227" s="329"/>
      <c r="U227" s="330">
        <f>SUM(O228:T228)</f>
        <v>69472114</v>
      </c>
      <c r="V227" s="330"/>
      <c r="W227" s="331"/>
      <c r="X227" s="331"/>
      <c r="Y227" s="330">
        <f>SUM(V228:X228)</f>
        <v>1736784</v>
      </c>
      <c r="Z227" s="330">
        <f>U228+Y228</f>
        <v>71208898</v>
      </c>
      <c r="AA227" s="332"/>
      <c r="AB227" s="332"/>
      <c r="AC227" s="330"/>
      <c r="AD227" s="330">
        <f>SUM(Z228:AC228)</f>
        <v>95972221</v>
      </c>
      <c r="AE227" s="333"/>
      <c r="AF227" s="333"/>
      <c r="AG227" s="333"/>
      <c r="AH227" s="333"/>
      <c r="AI227" s="381"/>
      <c r="AJ227" s="333"/>
      <c r="AK227" s="381">
        <f>SUM(AE228:AJ228)</f>
        <v>176.93</v>
      </c>
      <c r="AL227" s="328">
        <f>AM228+AN228+AO228+AP228</f>
        <v>975651717</v>
      </c>
      <c r="AM227" s="328"/>
      <c r="AN227" s="58"/>
      <c r="AO227" s="48"/>
      <c r="AP227" s="48"/>
      <c r="AQ227" s="48"/>
      <c r="AR227" s="329"/>
    </row>
    <row r="228" spans="1:44" ht="13.5" thickBot="1" x14ac:dyDescent="0.25">
      <c r="D228" s="8"/>
      <c r="E228" s="4"/>
      <c r="F228" s="8"/>
      <c r="G228" s="17"/>
      <c r="H228" s="338" t="s">
        <v>0</v>
      </c>
      <c r="I228" s="96">
        <f t="shared" ref="I228:AR228" si="606">SUM(I229:I238)</f>
        <v>879679496</v>
      </c>
      <c r="J228" s="31">
        <f t="shared" si="606"/>
        <v>652581227</v>
      </c>
      <c r="K228" s="31">
        <f t="shared" si="606"/>
        <v>220572456</v>
      </c>
      <c r="L228" s="31">
        <f t="shared" si="606"/>
        <v>6525813</v>
      </c>
      <c r="M228" s="31">
        <f t="shared" si="606"/>
        <v>0</v>
      </c>
      <c r="N228" s="647">
        <f t="shared" si="606"/>
        <v>978.39</v>
      </c>
      <c r="O228" s="101">
        <f t="shared" si="606"/>
        <v>-1403184</v>
      </c>
      <c r="P228" s="31">
        <f t="shared" si="606"/>
        <v>68967733</v>
      </c>
      <c r="Q228" s="31">
        <f t="shared" si="606"/>
        <v>911145</v>
      </c>
      <c r="R228" s="31">
        <f t="shared" si="606"/>
        <v>952487</v>
      </c>
      <c r="S228" s="31">
        <f t="shared" si="606"/>
        <v>0</v>
      </c>
      <c r="T228" s="31">
        <f t="shared" si="606"/>
        <v>43933</v>
      </c>
      <c r="U228" s="31">
        <f t="shared" si="606"/>
        <v>69472114</v>
      </c>
      <c r="V228" s="31">
        <f t="shared" si="606"/>
        <v>1403184</v>
      </c>
      <c r="W228" s="31">
        <f t="shared" si="606"/>
        <v>333600</v>
      </c>
      <c r="X228" s="31">
        <f t="shared" si="606"/>
        <v>0</v>
      </c>
      <c r="Y228" s="31">
        <f t="shared" si="606"/>
        <v>1736784</v>
      </c>
      <c r="Z228" s="31">
        <f t="shared" si="606"/>
        <v>71208898</v>
      </c>
      <c r="AA228" s="31">
        <f t="shared" si="606"/>
        <v>24068604</v>
      </c>
      <c r="AB228" s="31">
        <f t="shared" si="606"/>
        <v>694719</v>
      </c>
      <c r="AC228" s="31">
        <f t="shared" si="606"/>
        <v>0</v>
      </c>
      <c r="AD228" s="642">
        <f t="shared" si="606"/>
        <v>95972221</v>
      </c>
      <c r="AE228" s="646">
        <f t="shared" si="606"/>
        <v>-2.12</v>
      </c>
      <c r="AF228" s="32">
        <f t="shared" si="606"/>
        <v>175.99</v>
      </c>
      <c r="AG228" s="32">
        <f t="shared" si="606"/>
        <v>1.73</v>
      </c>
      <c r="AH228" s="32">
        <f t="shared" si="606"/>
        <v>1.2400000000000002</v>
      </c>
      <c r="AI228" s="32">
        <f t="shared" si="606"/>
        <v>0</v>
      </c>
      <c r="AJ228" s="32">
        <f t="shared" si="606"/>
        <v>0.09</v>
      </c>
      <c r="AK228" s="647">
        <f t="shared" si="606"/>
        <v>176.93000000000006</v>
      </c>
      <c r="AL228" s="96">
        <f t="shared" si="606"/>
        <v>975651717</v>
      </c>
      <c r="AM228" s="31">
        <f t="shared" si="606"/>
        <v>722053341</v>
      </c>
      <c r="AN228" s="31">
        <f t="shared" si="606"/>
        <v>1736784</v>
      </c>
      <c r="AO228" s="31">
        <f t="shared" si="606"/>
        <v>244641060</v>
      </c>
      <c r="AP228" s="31">
        <f t="shared" si="606"/>
        <v>7220532</v>
      </c>
      <c r="AQ228" s="31">
        <f t="shared" si="606"/>
        <v>0</v>
      </c>
      <c r="AR228" s="32">
        <f t="shared" si="606"/>
        <v>1155.32</v>
      </c>
    </row>
    <row r="229" spans="1:44" x14ac:dyDescent="0.2">
      <c r="D229" s="8"/>
      <c r="E229" s="4"/>
      <c r="F229" s="8"/>
      <c r="G229" s="17"/>
      <c r="H229" s="339">
        <v>3111</v>
      </c>
      <c r="I229" s="370">
        <f t="shared" ref="I229:AR229" si="607">SUMIF($F$12:$F$383,"=3111",I$12:I$383)</f>
        <v>194214711</v>
      </c>
      <c r="J229" s="371">
        <f t="shared" si="607"/>
        <v>144076195</v>
      </c>
      <c r="K229" s="371">
        <f t="shared" si="607"/>
        <v>48697752</v>
      </c>
      <c r="L229" s="371">
        <f t="shared" si="607"/>
        <v>1440764</v>
      </c>
      <c r="M229" s="371">
        <f t="shared" si="607"/>
        <v>0</v>
      </c>
      <c r="N229" s="649">
        <f t="shared" si="607"/>
        <v>239.38</v>
      </c>
      <c r="O229" s="372">
        <f t="shared" si="607"/>
        <v>-168000</v>
      </c>
      <c r="P229" s="371">
        <f t="shared" si="607"/>
        <v>12616388</v>
      </c>
      <c r="Q229" s="371">
        <f t="shared" si="607"/>
        <v>0</v>
      </c>
      <c r="R229" s="371">
        <f t="shared" si="607"/>
        <v>0</v>
      </c>
      <c r="S229" s="371">
        <f t="shared" si="607"/>
        <v>0</v>
      </c>
      <c r="T229" s="371">
        <f t="shared" si="607"/>
        <v>0</v>
      </c>
      <c r="U229" s="371">
        <f t="shared" si="607"/>
        <v>12448388</v>
      </c>
      <c r="V229" s="371">
        <f t="shared" si="607"/>
        <v>168000</v>
      </c>
      <c r="W229" s="371">
        <f t="shared" si="607"/>
        <v>0</v>
      </c>
      <c r="X229" s="371">
        <f t="shared" si="607"/>
        <v>0</v>
      </c>
      <c r="Y229" s="371">
        <f t="shared" si="607"/>
        <v>168000</v>
      </c>
      <c r="Z229" s="371">
        <f t="shared" si="607"/>
        <v>12616388</v>
      </c>
      <c r="AA229" s="371">
        <f t="shared" si="607"/>
        <v>4264339</v>
      </c>
      <c r="AB229" s="371">
        <f t="shared" si="607"/>
        <v>124482</v>
      </c>
      <c r="AC229" s="371">
        <f t="shared" si="607"/>
        <v>0</v>
      </c>
      <c r="AD229" s="643">
        <f t="shared" si="607"/>
        <v>17005209</v>
      </c>
      <c r="AE229" s="648">
        <f t="shared" si="607"/>
        <v>-0.12000000000000001</v>
      </c>
      <c r="AF229" s="373">
        <f t="shared" si="607"/>
        <v>33.28</v>
      </c>
      <c r="AG229" s="373">
        <f t="shared" si="607"/>
        <v>0</v>
      </c>
      <c r="AH229" s="373">
        <f t="shared" si="607"/>
        <v>0</v>
      </c>
      <c r="AI229" s="373">
        <f t="shared" si="607"/>
        <v>0</v>
      </c>
      <c r="AJ229" s="373">
        <f t="shared" si="607"/>
        <v>0</v>
      </c>
      <c r="AK229" s="649">
        <f t="shared" si="607"/>
        <v>33.160000000000004</v>
      </c>
      <c r="AL229" s="370">
        <f t="shared" si="607"/>
        <v>211219920</v>
      </c>
      <c r="AM229" s="371">
        <f t="shared" si="607"/>
        <v>156524583</v>
      </c>
      <c r="AN229" s="371">
        <f t="shared" si="607"/>
        <v>168000</v>
      </c>
      <c r="AO229" s="371">
        <f t="shared" si="607"/>
        <v>52962091</v>
      </c>
      <c r="AP229" s="371">
        <f t="shared" si="607"/>
        <v>1565246</v>
      </c>
      <c r="AQ229" s="371">
        <f t="shared" si="607"/>
        <v>0</v>
      </c>
      <c r="AR229" s="373">
        <f t="shared" si="607"/>
        <v>272.54000000000002</v>
      </c>
    </row>
    <row r="230" spans="1:44" x14ac:dyDescent="0.2">
      <c r="D230" s="8"/>
      <c r="E230" s="4"/>
      <c r="F230" s="8"/>
      <c r="G230" s="17"/>
      <c r="H230" s="2">
        <v>3113</v>
      </c>
      <c r="I230" s="119">
        <f t="shared" ref="I230:AR230" si="608">SUMIF($F$12:$F$383,"=3113",I$12:I$383)</f>
        <v>458849317</v>
      </c>
      <c r="J230" s="14">
        <f t="shared" si="608"/>
        <v>340392671</v>
      </c>
      <c r="K230" s="14">
        <f t="shared" si="608"/>
        <v>115052722</v>
      </c>
      <c r="L230" s="14">
        <f t="shared" si="608"/>
        <v>3403924</v>
      </c>
      <c r="M230" s="14">
        <f t="shared" si="608"/>
        <v>0</v>
      </c>
      <c r="N230" s="651">
        <f t="shared" si="608"/>
        <v>466.40999999999997</v>
      </c>
      <c r="O230" s="120">
        <f t="shared" si="608"/>
        <v>-582984</v>
      </c>
      <c r="P230" s="14">
        <f t="shared" si="608"/>
        <v>47366322</v>
      </c>
      <c r="Q230" s="14">
        <f t="shared" si="608"/>
        <v>911145</v>
      </c>
      <c r="R230" s="14">
        <f t="shared" si="608"/>
        <v>952487</v>
      </c>
      <c r="S230" s="14">
        <f t="shared" si="608"/>
        <v>0</v>
      </c>
      <c r="T230" s="14">
        <f t="shared" si="608"/>
        <v>0</v>
      </c>
      <c r="U230" s="14">
        <f t="shared" si="608"/>
        <v>48646970</v>
      </c>
      <c r="V230" s="14">
        <f t="shared" si="608"/>
        <v>582984</v>
      </c>
      <c r="W230" s="14">
        <f t="shared" si="608"/>
        <v>305800</v>
      </c>
      <c r="X230" s="14">
        <f t="shared" si="608"/>
        <v>0</v>
      </c>
      <c r="Y230" s="14">
        <f t="shared" si="608"/>
        <v>888784</v>
      </c>
      <c r="Z230" s="14">
        <f t="shared" si="608"/>
        <v>49535754</v>
      </c>
      <c r="AA230" s="14">
        <f t="shared" si="608"/>
        <v>16743082</v>
      </c>
      <c r="AB230" s="14">
        <f t="shared" si="608"/>
        <v>486470</v>
      </c>
      <c r="AC230" s="14">
        <f t="shared" si="608"/>
        <v>0</v>
      </c>
      <c r="AD230" s="644">
        <f t="shared" si="608"/>
        <v>66765306</v>
      </c>
      <c r="AE230" s="650">
        <f t="shared" si="608"/>
        <v>-0.84</v>
      </c>
      <c r="AF230" s="11">
        <f t="shared" si="608"/>
        <v>119.68</v>
      </c>
      <c r="AG230" s="11">
        <f t="shared" si="608"/>
        <v>1.73</v>
      </c>
      <c r="AH230" s="11">
        <f t="shared" si="608"/>
        <v>1.2400000000000002</v>
      </c>
      <c r="AI230" s="11">
        <f t="shared" si="608"/>
        <v>0</v>
      </c>
      <c r="AJ230" s="11">
        <f t="shared" si="608"/>
        <v>0</v>
      </c>
      <c r="AK230" s="651">
        <f t="shared" si="608"/>
        <v>121.81000000000002</v>
      </c>
      <c r="AL230" s="119">
        <f t="shared" si="608"/>
        <v>525614623</v>
      </c>
      <c r="AM230" s="14">
        <f t="shared" si="608"/>
        <v>389039641</v>
      </c>
      <c r="AN230" s="14">
        <f t="shared" si="608"/>
        <v>888784</v>
      </c>
      <c r="AO230" s="14">
        <f t="shared" si="608"/>
        <v>131795804</v>
      </c>
      <c r="AP230" s="14">
        <f t="shared" si="608"/>
        <v>3890394</v>
      </c>
      <c r="AQ230" s="14">
        <f t="shared" si="608"/>
        <v>0</v>
      </c>
      <c r="AR230" s="11">
        <f t="shared" si="608"/>
        <v>588.2199999999998</v>
      </c>
    </row>
    <row r="231" spans="1:44" x14ac:dyDescent="0.2">
      <c r="D231" s="8"/>
      <c r="E231" s="4"/>
      <c r="F231" s="8"/>
      <c r="G231" s="17"/>
      <c r="H231" s="2">
        <v>3114</v>
      </c>
      <c r="I231" s="119">
        <f t="shared" ref="I231:AR231" si="609">SUMIF($F$12:$F$383,"=3114",I$12:I$383)</f>
        <v>49590821</v>
      </c>
      <c r="J231" s="14">
        <f t="shared" si="609"/>
        <v>36788443</v>
      </c>
      <c r="K231" s="14">
        <f t="shared" si="609"/>
        <v>12434494</v>
      </c>
      <c r="L231" s="14">
        <f t="shared" si="609"/>
        <v>367884</v>
      </c>
      <c r="M231" s="14">
        <f t="shared" si="609"/>
        <v>0</v>
      </c>
      <c r="N231" s="651">
        <f t="shared" si="609"/>
        <v>56.15</v>
      </c>
      <c r="O231" s="120">
        <f t="shared" si="609"/>
        <v>0</v>
      </c>
      <c r="P231" s="14">
        <f t="shared" si="609"/>
        <v>242829</v>
      </c>
      <c r="Q231" s="14">
        <f t="shared" si="609"/>
        <v>0</v>
      </c>
      <c r="R231" s="14">
        <f t="shared" si="609"/>
        <v>0</v>
      </c>
      <c r="S231" s="14">
        <f t="shared" si="609"/>
        <v>0</v>
      </c>
      <c r="T231" s="14">
        <f t="shared" si="609"/>
        <v>43933</v>
      </c>
      <c r="U231" s="14">
        <f t="shared" si="609"/>
        <v>286762</v>
      </c>
      <c r="V231" s="14">
        <f t="shared" si="609"/>
        <v>0</v>
      </c>
      <c r="W231" s="14">
        <f t="shared" si="609"/>
        <v>0</v>
      </c>
      <c r="X231" s="14">
        <f t="shared" si="609"/>
        <v>0</v>
      </c>
      <c r="Y231" s="14">
        <f t="shared" si="609"/>
        <v>0</v>
      </c>
      <c r="Z231" s="14">
        <f t="shared" si="609"/>
        <v>286762</v>
      </c>
      <c r="AA231" s="14">
        <f t="shared" si="609"/>
        <v>96925</v>
      </c>
      <c r="AB231" s="14">
        <f t="shared" si="609"/>
        <v>2867</v>
      </c>
      <c r="AC231" s="14">
        <f t="shared" si="609"/>
        <v>0</v>
      </c>
      <c r="AD231" s="644">
        <f t="shared" si="609"/>
        <v>386554</v>
      </c>
      <c r="AE231" s="650">
        <f t="shared" si="609"/>
        <v>0</v>
      </c>
      <c r="AF231" s="11">
        <f t="shared" si="609"/>
        <v>0.46</v>
      </c>
      <c r="AG231" s="11">
        <f t="shared" si="609"/>
        <v>0</v>
      </c>
      <c r="AH231" s="11">
        <f t="shared" si="609"/>
        <v>0</v>
      </c>
      <c r="AI231" s="11">
        <f t="shared" si="609"/>
        <v>0</v>
      </c>
      <c r="AJ231" s="11">
        <f t="shared" si="609"/>
        <v>0.09</v>
      </c>
      <c r="AK231" s="651">
        <f t="shared" si="609"/>
        <v>0.55000000000000004</v>
      </c>
      <c r="AL231" s="119">
        <f t="shared" si="609"/>
        <v>49977375</v>
      </c>
      <c r="AM231" s="14">
        <f t="shared" si="609"/>
        <v>37075205</v>
      </c>
      <c r="AN231" s="14">
        <f t="shared" si="609"/>
        <v>0</v>
      </c>
      <c r="AO231" s="14">
        <f t="shared" si="609"/>
        <v>12531419</v>
      </c>
      <c r="AP231" s="14">
        <f t="shared" si="609"/>
        <v>370751</v>
      </c>
      <c r="AQ231" s="14">
        <f t="shared" si="609"/>
        <v>0</v>
      </c>
      <c r="AR231" s="11">
        <f t="shared" si="609"/>
        <v>56.7</v>
      </c>
    </row>
    <row r="232" spans="1:44" x14ac:dyDescent="0.2">
      <c r="D232" s="8"/>
      <c r="E232" s="4"/>
      <c r="F232" s="8"/>
      <c r="G232" s="17"/>
      <c r="H232" s="2">
        <v>3117</v>
      </c>
      <c r="I232" s="119">
        <f t="shared" ref="I232:AR232" si="610">SUMIF($F$12:$F$383,"=3117",I$12:I$383)</f>
        <v>38440264</v>
      </c>
      <c r="J232" s="14">
        <f t="shared" si="610"/>
        <v>28516515</v>
      </c>
      <c r="K232" s="14">
        <f t="shared" si="610"/>
        <v>9638584</v>
      </c>
      <c r="L232" s="14">
        <f t="shared" si="610"/>
        <v>285165</v>
      </c>
      <c r="M232" s="14">
        <f t="shared" si="610"/>
        <v>0</v>
      </c>
      <c r="N232" s="651">
        <f t="shared" si="610"/>
        <v>42.87</v>
      </c>
      <c r="O232" s="120">
        <f t="shared" si="610"/>
        <v>-33000</v>
      </c>
      <c r="P232" s="14">
        <f t="shared" si="610"/>
        <v>8742194</v>
      </c>
      <c r="Q232" s="14">
        <f t="shared" si="610"/>
        <v>0</v>
      </c>
      <c r="R232" s="14">
        <f t="shared" si="610"/>
        <v>0</v>
      </c>
      <c r="S232" s="14">
        <f t="shared" si="610"/>
        <v>0</v>
      </c>
      <c r="T232" s="14">
        <f t="shared" si="610"/>
        <v>0</v>
      </c>
      <c r="U232" s="14">
        <f t="shared" si="610"/>
        <v>8709194</v>
      </c>
      <c r="V232" s="14">
        <f t="shared" si="610"/>
        <v>33000</v>
      </c>
      <c r="W232" s="14">
        <f t="shared" si="610"/>
        <v>27800</v>
      </c>
      <c r="X232" s="14">
        <f t="shared" si="610"/>
        <v>0</v>
      </c>
      <c r="Y232" s="14">
        <f t="shared" si="610"/>
        <v>60800</v>
      </c>
      <c r="Z232" s="14">
        <f t="shared" si="610"/>
        <v>8769994</v>
      </c>
      <c r="AA232" s="14">
        <f t="shared" si="610"/>
        <v>2964258</v>
      </c>
      <c r="AB232" s="14">
        <f t="shared" si="610"/>
        <v>87092</v>
      </c>
      <c r="AC232" s="14">
        <f t="shared" si="610"/>
        <v>0</v>
      </c>
      <c r="AD232" s="644">
        <f t="shared" si="610"/>
        <v>11821344</v>
      </c>
      <c r="AE232" s="650">
        <f t="shared" si="610"/>
        <v>-0.01</v>
      </c>
      <c r="AF232" s="11">
        <f t="shared" si="610"/>
        <v>22.57</v>
      </c>
      <c r="AG232" s="11">
        <f t="shared" si="610"/>
        <v>0</v>
      </c>
      <c r="AH232" s="11">
        <f t="shared" si="610"/>
        <v>0</v>
      </c>
      <c r="AI232" s="11">
        <f t="shared" si="610"/>
        <v>0</v>
      </c>
      <c r="AJ232" s="11">
        <f t="shared" si="610"/>
        <v>0</v>
      </c>
      <c r="AK232" s="651">
        <f t="shared" si="610"/>
        <v>22.560000000000002</v>
      </c>
      <c r="AL232" s="119">
        <f t="shared" si="610"/>
        <v>50261608</v>
      </c>
      <c r="AM232" s="14">
        <f t="shared" si="610"/>
        <v>37225709</v>
      </c>
      <c r="AN232" s="14">
        <f t="shared" si="610"/>
        <v>60800</v>
      </c>
      <c r="AO232" s="14">
        <f t="shared" si="610"/>
        <v>12602842</v>
      </c>
      <c r="AP232" s="14">
        <f t="shared" si="610"/>
        <v>372257</v>
      </c>
      <c r="AQ232" s="14">
        <f t="shared" si="610"/>
        <v>0</v>
      </c>
      <c r="AR232" s="11">
        <f t="shared" si="610"/>
        <v>65.430000000000007</v>
      </c>
    </row>
    <row r="233" spans="1:44" x14ac:dyDescent="0.2">
      <c r="D233" s="8"/>
      <c r="E233" s="4"/>
      <c r="F233" s="8"/>
      <c r="G233" s="17"/>
      <c r="H233" s="2">
        <v>3122</v>
      </c>
      <c r="I233" s="119">
        <f t="shared" ref="I233:AR233" si="611">SUMIF($F$12:$F$383,"=3122",I$12:I$383)</f>
        <v>0</v>
      </c>
      <c r="J233" s="14">
        <f t="shared" si="611"/>
        <v>0</v>
      </c>
      <c r="K233" s="14">
        <f t="shared" si="611"/>
        <v>0</v>
      </c>
      <c r="L233" s="14">
        <f t="shared" si="611"/>
        <v>0</v>
      </c>
      <c r="M233" s="14">
        <f t="shared" si="611"/>
        <v>0</v>
      </c>
      <c r="N233" s="651">
        <f t="shared" si="611"/>
        <v>0</v>
      </c>
      <c r="O233" s="120">
        <f t="shared" si="611"/>
        <v>0</v>
      </c>
      <c r="P233" s="14">
        <f t="shared" si="611"/>
        <v>0</v>
      </c>
      <c r="Q233" s="14">
        <f t="shared" si="611"/>
        <v>0</v>
      </c>
      <c r="R233" s="14">
        <f t="shared" si="611"/>
        <v>0</v>
      </c>
      <c r="S233" s="14">
        <f t="shared" si="611"/>
        <v>0</v>
      </c>
      <c r="T233" s="14">
        <f t="shared" si="611"/>
        <v>0</v>
      </c>
      <c r="U233" s="14">
        <f t="shared" si="611"/>
        <v>0</v>
      </c>
      <c r="V233" s="14">
        <f t="shared" si="611"/>
        <v>0</v>
      </c>
      <c r="W233" s="14">
        <f t="shared" si="611"/>
        <v>0</v>
      </c>
      <c r="X233" s="14">
        <f t="shared" si="611"/>
        <v>0</v>
      </c>
      <c r="Y233" s="14">
        <f t="shared" si="611"/>
        <v>0</v>
      </c>
      <c r="Z233" s="14">
        <f t="shared" si="611"/>
        <v>0</v>
      </c>
      <c r="AA233" s="14">
        <f t="shared" si="611"/>
        <v>0</v>
      </c>
      <c r="AB233" s="14">
        <f t="shared" si="611"/>
        <v>0</v>
      </c>
      <c r="AC233" s="14">
        <f t="shared" si="611"/>
        <v>0</v>
      </c>
      <c r="AD233" s="644">
        <f t="shared" si="611"/>
        <v>0</v>
      </c>
      <c r="AE233" s="650">
        <f t="shared" si="611"/>
        <v>0</v>
      </c>
      <c r="AF233" s="11">
        <f t="shared" si="611"/>
        <v>0</v>
      </c>
      <c r="AG233" s="11">
        <f t="shared" si="611"/>
        <v>0</v>
      </c>
      <c r="AH233" s="11">
        <f t="shared" si="611"/>
        <v>0</v>
      </c>
      <c r="AI233" s="11">
        <f t="shared" si="611"/>
        <v>0</v>
      </c>
      <c r="AJ233" s="11">
        <f t="shared" si="611"/>
        <v>0</v>
      </c>
      <c r="AK233" s="651">
        <f t="shared" si="611"/>
        <v>0</v>
      </c>
      <c r="AL233" s="119">
        <f t="shared" si="611"/>
        <v>0</v>
      </c>
      <c r="AM233" s="14">
        <f t="shared" si="611"/>
        <v>0</v>
      </c>
      <c r="AN233" s="14">
        <f t="shared" si="611"/>
        <v>0</v>
      </c>
      <c r="AO233" s="14">
        <f t="shared" si="611"/>
        <v>0</v>
      </c>
      <c r="AP233" s="14">
        <f t="shared" si="611"/>
        <v>0</v>
      </c>
      <c r="AQ233" s="14">
        <f t="shared" si="611"/>
        <v>0</v>
      </c>
      <c r="AR233" s="11">
        <f t="shared" si="611"/>
        <v>0</v>
      </c>
    </row>
    <row r="234" spans="1:44" x14ac:dyDescent="0.2">
      <c r="D234" s="8"/>
      <c r="E234" s="4"/>
      <c r="F234" s="8"/>
      <c r="G234" s="17"/>
      <c r="H234" s="2">
        <v>3124</v>
      </c>
      <c r="I234" s="119">
        <f t="shared" ref="I234:AR234" si="612">SUMIF($F$12:$F$383,"=3124",I$12:I$383)</f>
        <v>4596416</v>
      </c>
      <c r="J234" s="14">
        <f t="shared" si="612"/>
        <v>3409804</v>
      </c>
      <c r="K234" s="14">
        <f t="shared" si="612"/>
        <v>1152514</v>
      </c>
      <c r="L234" s="14">
        <f t="shared" si="612"/>
        <v>34098</v>
      </c>
      <c r="M234" s="14">
        <f t="shared" si="612"/>
        <v>0</v>
      </c>
      <c r="N234" s="651">
        <f t="shared" si="612"/>
        <v>5.21</v>
      </c>
      <c r="O234" s="120">
        <f t="shared" si="612"/>
        <v>0</v>
      </c>
      <c r="P234" s="14">
        <f t="shared" si="612"/>
        <v>0</v>
      </c>
      <c r="Q234" s="14">
        <f t="shared" si="612"/>
        <v>0</v>
      </c>
      <c r="R234" s="14">
        <f t="shared" si="612"/>
        <v>0</v>
      </c>
      <c r="S234" s="14">
        <f t="shared" si="612"/>
        <v>0</v>
      </c>
      <c r="T234" s="14">
        <f t="shared" si="612"/>
        <v>0</v>
      </c>
      <c r="U234" s="14">
        <f t="shared" si="612"/>
        <v>0</v>
      </c>
      <c r="V234" s="14">
        <f t="shared" si="612"/>
        <v>0</v>
      </c>
      <c r="W234" s="14">
        <f t="shared" si="612"/>
        <v>0</v>
      </c>
      <c r="X234" s="14">
        <f t="shared" si="612"/>
        <v>0</v>
      </c>
      <c r="Y234" s="14">
        <f t="shared" si="612"/>
        <v>0</v>
      </c>
      <c r="Z234" s="14">
        <f t="shared" si="612"/>
        <v>0</v>
      </c>
      <c r="AA234" s="14">
        <f t="shared" si="612"/>
        <v>0</v>
      </c>
      <c r="AB234" s="14">
        <f t="shared" si="612"/>
        <v>0</v>
      </c>
      <c r="AC234" s="14">
        <f t="shared" si="612"/>
        <v>0</v>
      </c>
      <c r="AD234" s="644">
        <f t="shared" si="612"/>
        <v>0</v>
      </c>
      <c r="AE234" s="650">
        <f t="shared" si="612"/>
        <v>0</v>
      </c>
      <c r="AF234" s="11">
        <f t="shared" si="612"/>
        <v>0</v>
      </c>
      <c r="AG234" s="11">
        <f t="shared" si="612"/>
        <v>0</v>
      </c>
      <c r="AH234" s="11">
        <f t="shared" si="612"/>
        <v>0</v>
      </c>
      <c r="AI234" s="11">
        <f t="shared" si="612"/>
        <v>0</v>
      </c>
      <c r="AJ234" s="11">
        <f t="shared" si="612"/>
        <v>0</v>
      </c>
      <c r="AK234" s="651">
        <f t="shared" si="612"/>
        <v>0</v>
      </c>
      <c r="AL234" s="119">
        <f t="shared" si="612"/>
        <v>4596416</v>
      </c>
      <c r="AM234" s="14">
        <f t="shared" si="612"/>
        <v>3409804</v>
      </c>
      <c r="AN234" s="14">
        <f t="shared" si="612"/>
        <v>0</v>
      </c>
      <c r="AO234" s="14">
        <f t="shared" si="612"/>
        <v>1152514</v>
      </c>
      <c r="AP234" s="14">
        <f t="shared" si="612"/>
        <v>34098</v>
      </c>
      <c r="AQ234" s="14">
        <f t="shared" si="612"/>
        <v>0</v>
      </c>
      <c r="AR234" s="11">
        <f t="shared" si="612"/>
        <v>5.21</v>
      </c>
    </row>
    <row r="235" spans="1:44" x14ac:dyDescent="0.2">
      <c r="D235" s="8"/>
      <c r="E235" s="4"/>
      <c r="F235" s="8"/>
      <c r="G235" s="17"/>
      <c r="H235" s="2">
        <v>3141</v>
      </c>
      <c r="I235" s="119">
        <f t="shared" ref="I235:AR235" si="613">SUMIF($F$12:$F$383,"=3141",I$12:I$383)</f>
        <v>0</v>
      </c>
      <c r="J235" s="14">
        <f t="shared" si="613"/>
        <v>0</v>
      </c>
      <c r="K235" s="14">
        <f t="shared" si="613"/>
        <v>0</v>
      </c>
      <c r="L235" s="14">
        <f t="shared" si="613"/>
        <v>0</v>
      </c>
      <c r="M235" s="14">
        <f t="shared" si="613"/>
        <v>0</v>
      </c>
      <c r="N235" s="651">
        <f t="shared" si="613"/>
        <v>0</v>
      </c>
      <c r="O235" s="120">
        <f t="shared" si="613"/>
        <v>0</v>
      </c>
      <c r="P235" s="14">
        <f t="shared" si="613"/>
        <v>0</v>
      </c>
      <c r="Q235" s="14">
        <f t="shared" si="613"/>
        <v>0</v>
      </c>
      <c r="R235" s="14">
        <f t="shared" si="613"/>
        <v>0</v>
      </c>
      <c r="S235" s="14">
        <f t="shared" si="613"/>
        <v>0</v>
      </c>
      <c r="T235" s="14">
        <f t="shared" si="613"/>
        <v>0</v>
      </c>
      <c r="U235" s="14">
        <f t="shared" si="613"/>
        <v>0</v>
      </c>
      <c r="V235" s="14">
        <f t="shared" si="613"/>
        <v>0</v>
      </c>
      <c r="W235" s="14">
        <f t="shared" si="613"/>
        <v>0</v>
      </c>
      <c r="X235" s="14">
        <f t="shared" si="613"/>
        <v>0</v>
      </c>
      <c r="Y235" s="14">
        <f t="shared" si="613"/>
        <v>0</v>
      </c>
      <c r="Z235" s="14">
        <f t="shared" si="613"/>
        <v>0</v>
      </c>
      <c r="AA235" s="14">
        <f t="shared" si="613"/>
        <v>0</v>
      </c>
      <c r="AB235" s="14">
        <f t="shared" si="613"/>
        <v>0</v>
      </c>
      <c r="AC235" s="14">
        <f t="shared" si="613"/>
        <v>0</v>
      </c>
      <c r="AD235" s="644">
        <f t="shared" si="613"/>
        <v>0</v>
      </c>
      <c r="AE235" s="650">
        <f t="shared" si="613"/>
        <v>0</v>
      </c>
      <c r="AF235" s="11">
        <f t="shared" si="613"/>
        <v>0</v>
      </c>
      <c r="AG235" s="11">
        <f t="shared" si="613"/>
        <v>0</v>
      </c>
      <c r="AH235" s="11">
        <f t="shared" si="613"/>
        <v>0</v>
      </c>
      <c r="AI235" s="11">
        <f t="shared" si="613"/>
        <v>0</v>
      </c>
      <c r="AJ235" s="11">
        <f t="shared" si="613"/>
        <v>0</v>
      </c>
      <c r="AK235" s="651">
        <f t="shared" si="613"/>
        <v>0</v>
      </c>
      <c r="AL235" s="119">
        <f t="shared" si="613"/>
        <v>0</v>
      </c>
      <c r="AM235" s="14">
        <f t="shared" si="613"/>
        <v>0</v>
      </c>
      <c r="AN235" s="14">
        <f t="shared" si="613"/>
        <v>0</v>
      </c>
      <c r="AO235" s="14">
        <f t="shared" si="613"/>
        <v>0</v>
      </c>
      <c r="AP235" s="14">
        <f t="shared" si="613"/>
        <v>0</v>
      </c>
      <c r="AQ235" s="14">
        <f t="shared" si="613"/>
        <v>0</v>
      </c>
      <c r="AR235" s="11">
        <f t="shared" si="613"/>
        <v>0</v>
      </c>
    </row>
    <row r="236" spans="1:44" x14ac:dyDescent="0.2">
      <c r="D236" s="8"/>
      <c r="E236" s="4"/>
      <c r="F236" s="8"/>
      <c r="G236" s="17"/>
      <c r="H236" s="2">
        <v>3143</v>
      </c>
      <c r="I236" s="119">
        <f t="shared" ref="I236:AR236" si="614">SUMIF($F$12:$F$383,"=3143",I$12:I$383)</f>
        <v>62371687</v>
      </c>
      <c r="J236" s="14">
        <f t="shared" si="614"/>
        <v>46269795</v>
      </c>
      <c r="K236" s="14">
        <f t="shared" si="614"/>
        <v>15639191</v>
      </c>
      <c r="L236" s="14">
        <f t="shared" si="614"/>
        <v>462701</v>
      </c>
      <c r="M236" s="14">
        <f t="shared" si="614"/>
        <v>0</v>
      </c>
      <c r="N236" s="651">
        <f t="shared" si="614"/>
        <v>87.669999999999987</v>
      </c>
      <c r="O236" s="120">
        <f t="shared" si="614"/>
        <v>-142200</v>
      </c>
      <c r="P236" s="14">
        <f t="shared" si="614"/>
        <v>0</v>
      </c>
      <c r="Q236" s="14">
        <f t="shared" si="614"/>
        <v>0</v>
      </c>
      <c r="R236" s="14">
        <f t="shared" si="614"/>
        <v>0</v>
      </c>
      <c r="S236" s="14">
        <f t="shared" si="614"/>
        <v>0</v>
      </c>
      <c r="T236" s="14">
        <f t="shared" si="614"/>
        <v>0</v>
      </c>
      <c r="U236" s="14">
        <f t="shared" si="614"/>
        <v>-142200</v>
      </c>
      <c r="V236" s="14">
        <f t="shared" si="614"/>
        <v>142200</v>
      </c>
      <c r="W236" s="14">
        <f t="shared" si="614"/>
        <v>0</v>
      </c>
      <c r="X236" s="14">
        <f t="shared" si="614"/>
        <v>0</v>
      </c>
      <c r="Y236" s="14">
        <f t="shared" si="614"/>
        <v>142200</v>
      </c>
      <c r="Z236" s="14">
        <f t="shared" si="614"/>
        <v>0</v>
      </c>
      <c r="AA236" s="14">
        <f t="shared" si="614"/>
        <v>0</v>
      </c>
      <c r="AB236" s="14">
        <f t="shared" si="614"/>
        <v>-1422</v>
      </c>
      <c r="AC236" s="14">
        <f t="shared" si="614"/>
        <v>0</v>
      </c>
      <c r="AD236" s="644">
        <f t="shared" si="614"/>
        <v>-1422</v>
      </c>
      <c r="AE236" s="650">
        <f t="shared" si="614"/>
        <v>-0.16000000000000003</v>
      </c>
      <c r="AF236" s="11">
        <f t="shared" si="614"/>
        <v>0</v>
      </c>
      <c r="AG236" s="11">
        <f t="shared" si="614"/>
        <v>0</v>
      </c>
      <c r="AH236" s="11">
        <f t="shared" si="614"/>
        <v>0</v>
      </c>
      <c r="AI236" s="11">
        <f t="shared" si="614"/>
        <v>0</v>
      </c>
      <c r="AJ236" s="11">
        <f t="shared" si="614"/>
        <v>0</v>
      </c>
      <c r="AK236" s="651">
        <f t="shared" si="614"/>
        <v>-0.16000000000000003</v>
      </c>
      <c r="AL236" s="119">
        <f t="shared" si="614"/>
        <v>62370265</v>
      </c>
      <c r="AM236" s="14">
        <f t="shared" si="614"/>
        <v>46127595</v>
      </c>
      <c r="AN236" s="14">
        <f t="shared" si="614"/>
        <v>142200</v>
      </c>
      <c r="AO236" s="14">
        <f t="shared" si="614"/>
        <v>15639191</v>
      </c>
      <c r="AP236" s="14">
        <f t="shared" si="614"/>
        <v>461279</v>
      </c>
      <c r="AQ236" s="14">
        <f t="shared" si="614"/>
        <v>0</v>
      </c>
      <c r="AR236" s="11">
        <f t="shared" si="614"/>
        <v>87.509999999999991</v>
      </c>
    </row>
    <row r="237" spans="1:44" x14ac:dyDescent="0.2">
      <c r="D237" s="8"/>
      <c r="E237" s="4"/>
      <c r="F237" s="8"/>
      <c r="G237" s="17"/>
      <c r="H237" s="2">
        <v>3231</v>
      </c>
      <c r="I237" s="119">
        <f t="shared" ref="I237:AR237" si="615">SUMIF($F$12:$F$383,"=3231",I$12:I$383)</f>
        <v>64351566</v>
      </c>
      <c r="J237" s="14">
        <f t="shared" si="615"/>
        <v>47738550</v>
      </c>
      <c r="K237" s="14">
        <f t="shared" si="615"/>
        <v>16135631</v>
      </c>
      <c r="L237" s="14">
        <f t="shared" si="615"/>
        <v>477385</v>
      </c>
      <c r="M237" s="14">
        <f t="shared" si="615"/>
        <v>0</v>
      </c>
      <c r="N237" s="651">
        <f t="shared" si="615"/>
        <v>71.58</v>
      </c>
      <c r="O237" s="120">
        <f t="shared" si="615"/>
        <v>-6000</v>
      </c>
      <c r="P237" s="14">
        <f t="shared" si="615"/>
        <v>0</v>
      </c>
      <c r="Q237" s="14">
        <f t="shared" si="615"/>
        <v>0</v>
      </c>
      <c r="R237" s="14">
        <f t="shared" si="615"/>
        <v>0</v>
      </c>
      <c r="S237" s="14">
        <f t="shared" si="615"/>
        <v>0</v>
      </c>
      <c r="T237" s="14">
        <f t="shared" si="615"/>
        <v>0</v>
      </c>
      <c r="U237" s="14">
        <f t="shared" si="615"/>
        <v>-6000</v>
      </c>
      <c r="V237" s="14">
        <f t="shared" si="615"/>
        <v>6000</v>
      </c>
      <c r="W237" s="14">
        <f t="shared" si="615"/>
        <v>0</v>
      </c>
      <c r="X237" s="14">
        <f t="shared" si="615"/>
        <v>0</v>
      </c>
      <c r="Y237" s="14">
        <f t="shared" si="615"/>
        <v>6000</v>
      </c>
      <c r="Z237" s="14">
        <f t="shared" si="615"/>
        <v>0</v>
      </c>
      <c r="AA237" s="14">
        <f t="shared" si="615"/>
        <v>0</v>
      </c>
      <c r="AB237" s="14">
        <f t="shared" si="615"/>
        <v>-60</v>
      </c>
      <c r="AC237" s="14">
        <f t="shared" si="615"/>
        <v>0</v>
      </c>
      <c r="AD237" s="644">
        <f t="shared" si="615"/>
        <v>-60</v>
      </c>
      <c r="AE237" s="650">
        <f t="shared" si="615"/>
        <v>-0.01</v>
      </c>
      <c r="AF237" s="11">
        <f t="shared" si="615"/>
        <v>0</v>
      </c>
      <c r="AG237" s="11">
        <f t="shared" si="615"/>
        <v>0</v>
      </c>
      <c r="AH237" s="11">
        <f t="shared" si="615"/>
        <v>0</v>
      </c>
      <c r="AI237" s="11">
        <f t="shared" si="615"/>
        <v>0</v>
      </c>
      <c r="AJ237" s="11">
        <f t="shared" si="615"/>
        <v>0</v>
      </c>
      <c r="AK237" s="651">
        <f t="shared" si="615"/>
        <v>-0.01</v>
      </c>
      <c r="AL237" s="119">
        <f t="shared" si="615"/>
        <v>64351506</v>
      </c>
      <c r="AM237" s="14">
        <f t="shared" si="615"/>
        <v>47732550</v>
      </c>
      <c r="AN237" s="14">
        <f t="shared" si="615"/>
        <v>6000</v>
      </c>
      <c r="AO237" s="14">
        <f t="shared" si="615"/>
        <v>16135631</v>
      </c>
      <c r="AP237" s="14">
        <f t="shared" si="615"/>
        <v>477325</v>
      </c>
      <c r="AQ237" s="14">
        <f t="shared" si="615"/>
        <v>0</v>
      </c>
      <c r="AR237" s="11">
        <f t="shared" si="615"/>
        <v>71.570000000000007</v>
      </c>
    </row>
    <row r="238" spans="1:44" ht="13.5" thickBot="1" x14ac:dyDescent="0.25">
      <c r="D238" s="8"/>
      <c r="E238" s="4"/>
      <c r="F238" s="8"/>
      <c r="G238" s="17"/>
      <c r="H238" s="103">
        <v>3233</v>
      </c>
      <c r="I238" s="122">
        <f t="shared" ref="I238:AR238" si="616">SUMIF($F$12:$F$383,"=3233",I$12:I$383)</f>
        <v>7264714</v>
      </c>
      <c r="J238" s="123">
        <f t="shared" si="616"/>
        <v>5389254</v>
      </c>
      <c r="K238" s="123">
        <f t="shared" si="616"/>
        <v>1821568</v>
      </c>
      <c r="L238" s="123">
        <f t="shared" si="616"/>
        <v>53892</v>
      </c>
      <c r="M238" s="123">
        <f t="shared" si="616"/>
        <v>0</v>
      </c>
      <c r="N238" s="653">
        <f t="shared" si="616"/>
        <v>9.1199999999999992</v>
      </c>
      <c r="O238" s="125">
        <f t="shared" si="616"/>
        <v>-471000</v>
      </c>
      <c r="P238" s="123">
        <f t="shared" si="616"/>
        <v>0</v>
      </c>
      <c r="Q238" s="123">
        <f t="shared" si="616"/>
        <v>0</v>
      </c>
      <c r="R238" s="123">
        <f t="shared" si="616"/>
        <v>0</v>
      </c>
      <c r="S238" s="123">
        <f t="shared" si="616"/>
        <v>0</v>
      </c>
      <c r="T238" s="123">
        <f t="shared" si="616"/>
        <v>0</v>
      </c>
      <c r="U238" s="123">
        <f t="shared" si="616"/>
        <v>-471000</v>
      </c>
      <c r="V238" s="123">
        <f t="shared" si="616"/>
        <v>471000</v>
      </c>
      <c r="W238" s="123">
        <f t="shared" si="616"/>
        <v>0</v>
      </c>
      <c r="X238" s="123">
        <f t="shared" si="616"/>
        <v>0</v>
      </c>
      <c r="Y238" s="123">
        <f t="shared" si="616"/>
        <v>471000</v>
      </c>
      <c r="Z238" s="123">
        <f t="shared" si="616"/>
        <v>0</v>
      </c>
      <c r="AA238" s="123">
        <f t="shared" si="616"/>
        <v>0</v>
      </c>
      <c r="AB238" s="123">
        <f t="shared" si="616"/>
        <v>-4710</v>
      </c>
      <c r="AC238" s="123">
        <f t="shared" si="616"/>
        <v>0</v>
      </c>
      <c r="AD238" s="645">
        <f t="shared" si="616"/>
        <v>-4710</v>
      </c>
      <c r="AE238" s="652">
        <f t="shared" si="616"/>
        <v>-0.98</v>
      </c>
      <c r="AF238" s="124">
        <f t="shared" si="616"/>
        <v>0</v>
      </c>
      <c r="AG238" s="124">
        <f t="shared" si="616"/>
        <v>0</v>
      </c>
      <c r="AH238" s="124">
        <f t="shared" si="616"/>
        <v>0</v>
      </c>
      <c r="AI238" s="124">
        <f t="shared" si="616"/>
        <v>0</v>
      </c>
      <c r="AJ238" s="124">
        <f t="shared" si="616"/>
        <v>0</v>
      </c>
      <c r="AK238" s="653">
        <f t="shared" si="616"/>
        <v>-0.98</v>
      </c>
      <c r="AL238" s="122">
        <f t="shared" si="616"/>
        <v>7260004</v>
      </c>
      <c r="AM238" s="123">
        <f t="shared" si="616"/>
        <v>4918254</v>
      </c>
      <c r="AN238" s="123">
        <f t="shared" si="616"/>
        <v>471000</v>
      </c>
      <c r="AO238" s="123">
        <f t="shared" si="616"/>
        <v>1821568</v>
      </c>
      <c r="AP238" s="123">
        <f t="shared" si="616"/>
        <v>49182</v>
      </c>
      <c r="AQ238" s="123">
        <f t="shared" si="616"/>
        <v>0</v>
      </c>
      <c r="AR238" s="124">
        <f t="shared" si="616"/>
        <v>8.14</v>
      </c>
    </row>
    <row r="239" spans="1:44" x14ac:dyDescent="0.2">
      <c r="D239" s="4"/>
      <c r="E239" s="4"/>
      <c r="F239" s="4"/>
      <c r="G239" s="17"/>
      <c r="H239" s="4"/>
    </row>
  </sheetData>
  <mergeCells count="45">
    <mergeCell ref="AO9:AO10"/>
    <mergeCell ref="AE7:AK7"/>
    <mergeCell ref="V7:Y8"/>
    <mergeCell ref="S9:S10"/>
    <mergeCell ref="AP9:AP10"/>
    <mergeCell ref="AL8:AL10"/>
    <mergeCell ref="AM9:AM10"/>
    <mergeCell ref="AD7:AD10"/>
    <mergeCell ref="AA7:AA10"/>
    <mergeCell ref="AB7:AB10"/>
    <mergeCell ref="AI8:AI10"/>
    <mergeCell ref="AJ8:AJ10"/>
    <mergeCell ref="AK8:AK10"/>
    <mergeCell ref="AM8:AP8"/>
    <mergeCell ref="V9:V10"/>
    <mergeCell ref="X9:X10"/>
    <mergeCell ref="N8:N10"/>
    <mergeCell ref="J9:J10"/>
    <mergeCell ref="K9:K10"/>
    <mergeCell ref="P9:P10"/>
    <mergeCell ref="Q9:Q10"/>
    <mergeCell ref="O9:O10"/>
    <mergeCell ref="J8:L8"/>
    <mergeCell ref="A3:E3"/>
    <mergeCell ref="I8:I10"/>
    <mergeCell ref="I6:N7"/>
    <mergeCell ref="AR8:AR10"/>
    <mergeCell ref="Y9:Y10"/>
    <mergeCell ref="U9:U10"/>
    <mergeCell ref="W9:W10"/>
    <mergeCell ref="AN9:AN10"/>
    <mergeCell ref="AQ9:AQ10"/>
    <mergeCell ref="O6:AK6"/>
    <mergeCell ref="AL6:AR7"/>
    <mergeCell ref="O7:U8"/>
    <mergeCell ref="L9:L10"/>
    <mergeCell ref="M9:M10"/>
    <mergeCell ref="R9:R10"/>
    <mergeCell ref="T9:T10"/>
    <mergeCell ref="AH8:AH10"/>
    <mergeCell ref="Z7:Z10"/>
    <mergeCell ref="AC7:AC10"/>
    <mergeCell ref="AE8:AE10"/>
    <mergeCell ref="AF8:AF10"/>
    <mergeCell ref="AG8:AG1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R113"/>
  <sheetViews>
    <sheetView zoomScaleNormal="100" workbookViewId="0">
      <pane xSplit="8" ySplit="11" topLeftCell="I86" activePane="bottomRight" state="frozen"/>
      <selection activeCell="I6" sqref="I6:AR10"/>
      <selection pane="topRight" activeCell="I6" sqref="I6:AR10"/>
      <selection pane="bottomLeft" activeCell="I6" sqref="I6:AR10"/>
      <selection pane="bottomRight" activeCell="I6" sqref="I6:AR10"/>
    </sheetView>
  </sheetViews>
  <sheetFormatPr defaultColWidth="9.140625" defaultRowHeight="15" x14ac:dyDescent="0.25"/>
  <cols>
    <col min="1" max="1" width="5.28515625" style="233" customWidth="1"/>
    <col min="2" max="2" width="7.140625" style="175" bestFit="1" customWidth="1"/>
    <col min="3" max="3" width="8.7109375" style="234" bestFit="1" customWidth="1"/>
    <col min="4" max="4" width="7.85546875" style="175" bestFit="1" customWidth="1"/>
    <col min="5" max="5" width="31.42578125" style="241" customWidth="1"/>
    <col min="6" max="6" width="6.42578125" style="234" customWidth="1"/>
    <col min="7" max="7" width="10.28515625" style="175" bestFit="1" customWidth="1"/>
    <col min="8" max="8" width="10" style="175" customWidth="1"/>
    <col min="9" max="9" width="13.140625" style="239" customWidth="1"/>
    <col min="10" max="10" width="12.42578125" style="239" customWidth="1"/>
    <col min="11" max="11" width="12.28515625" style="239" customWidth="1"/>
    <col min="12" max="12" width="11.140625" style="239" customWidth="1"/>
    <col min="13" max="13" width="11.5703125" style="239" customWidth="1"/>
    <col min="14" max="14" width="12.85546875" style="732" customWidth="1"/>
    <col min="15" max="17" width="10.28515625" style="239" customWidth="1"/>
    <col min="18" max="18" width="10.42578125" style="239" customWidth="1"/>
    <col min="19" max="19" width="12.140625" style="462" customWidth="1"/>
    <col min="20" max="20" width="8.85546875" style="239" customWidth="1"/>
    <col min="21" max="25" width="10.28515625" style="239" customWidth="1"/>
    <col min="26" max="26" width="10" style="240" customWidth="1"/>
    <col min="27" max="27" width="9.28515625" style="240" customWidth="1"/>
    <col min="28" max="28" width="9.140625" style="239" customWidth="1"/>
    <col min="29" max="29" width="10" style="239" customWidth="1"/>
    <col min="30" max="30" width="9.7109375" style="239" customWidth="1"/>
    <col min="31" max="32" width="9.140625" style="240" customWidth="1"/>
    <col min="33" max="33" width="10.140625" style="240" customWidth="1"/>
    <col min="34" max="34" width="9.140625" style="240" customWidth="1"/>
    <col min="35" max="35" width="10.5703125" style="463" customWidth="1"/>
    <col min="36" max="36" width="9.85546875" style="240" customWidth="1"/>
    <col min="37" max="37" width="9.28515625" style="240" customWidth="1"/>
    <col min="38" max="38" width="12.7109375" style="240" customWidth="1"/>
    <col min="39" max="39" width="11.42578125" style="240" customWidth="1"/>
    <col min="40" max="41" width="10.85546875" style="240" customWidth="1"/>
    <col min="42" max="42" width="11.5703125" style="240" customWidth="1"/>
    <col min="43" max="43" width="11.85546875" style="240" customWidth="1"/>
    <col min="44" max="44" width="10.42578125" style="240" customWidth="1"/>
    <col min="45" max="45" width="9.140625" style="175" customWidth="1"/>
    <col min="46" max="16384" width="9.140625" style="175"/>
  </cols>
  <sheetData>
    <row r="1" spans="1:44" ht="12" customHeight="1" x14ac:dyDescent="0.25">
      <c r="A1" s="321" t="s">
        <v>2</v>
      </c>
      <c r="B1" s="321"/>
      <c r="C1" s="173"/>
      <c r="D1" s="321"/>
      <c r="E1" s="321"/>
      <c r="F1" s="174"/>
      <c r="G1" s="174"/>
      <c r="H1" s="174"/>
      <c r="AB1" s="48"/>
      <c r="AC1" s="48"/>
      <c r="AD1" s="48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12" customHeight="1" x14ac:dyDescent="0.25">
      <c r="A2" s="321" t="s">
        <v>3</v>
      </c>
      <c r="B2" s="321"/>
      <c r="C2" s="173"/>
      <c r="D2" s="321"/>
      <c r="E2" s="321"/>
      <c r="F2" s="174"/>
      <c r="G2" s="174"/>
      <c r="H2" s="174"/>
    </row>
    <row r="3" spans="1:44" ht="12" customHeight="1" x14ac:dyDescent="0.25">
      <c r="A3" s="973" t="s">
        <v>4</v>
      </c>
      <c r="B3" s="973"/>
      <c r="C3" s="973"/>
      <c r="D3" s="973"/>
      <c r="E3" s="973"/>
      <c r="F3" s="174"/>
      <c r="G3" s="174"/>
      <c r="H3" s="174"/>
      <c r="AC3" s="380"/>
    </row>
    <row r="4" spans="1:44" ht="12" customHeight="1" x14ac:dyDescent="0.25">
      <c r="A4" s="176"/>
      <c r="B4" s="321"/>
      <c r="C4" s="321"/>
      <c r="D4" s="321"/>
      <c r="E4" s="321"/>
      <c r="F4" s="174"/>
      <c r="G4" s="174"/>
      <c r="H4" s="174"/>
      <c r="I4" s="733"/>
      <c r="O4" s="49"/>
      <c r="P4" s="90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  <c r="AF4" s="900"/>
      <c r="AG4" s="50"/>
      <c r="AH4" s="50"/>
      <c r="AI4" s="50"/>
      <c r="AJ4" s="50"/>
      <c r="AK4" s="50"/>
    </row>
    <row r="5" spans="1:44" ht="16.5" thickBot="1" x14ac:dyDescent="0.3">
      <c r="A5" s="127" t="s">
        <v>841</v>
      </c>
      <c r="B5" s="475"/>
      <c r="C5" s="475"/>
      <c r="D5" s="475"/>
      <c r="E5" s="474"/>
      <c r="F5" s="551"/>
      <c r="G5" s="551"/>
      <c r="H5" s="177"/>
      <c r="I5" s="733"/>
      <c r="J5" s="733"/>
      <c r="K5" s="733"/>
      <c r="L5" s="733"/>
      <c r="M5" s="733"/>
      <c r="N5" s="734"/>
      <c r="O5" s="322"/>
      <c r="P5" s="707" t="s">
        <v>832</v>
      </c>
      <c r="Q5" s="49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49"/>
      <c r="AC5" s="49"/>
      <c r="AD5" s="49"/>
      <c r="AE5" s="50"/>
      <c r="AF5" s="707" t="s">
        <v>832</v>
      </c>
      <c r="AG5" s="50"/>
      <c r="AH5" s="50"/>
      <c r="AI5" s="50"/>
      <c r="AJ5" s="50"/>
      <c r="AK5" s="50"/>
    </row>
    <row r="6" spans="1:44" ht="15" customHeight="1" thickBot="1" x14ac:dyDescent="0.3">
      <c r="A6" s="390"/>
      <c r="B6" s="391"/>
      <c r="C6" s="392"/>
      <c r="D6" s="392"/>
      <c r="E6" s="391"/>
      <c r="F6" s="391"/>
      <c r="G6" s="47"/>
      <c r="H6" s="174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4" ht="16.5" customHeight="1" thickBot="1" x14ac:dyDescent="0.3">
      <c r="A7" s="176"/>
      <c r="B7" s="178"/>
      <c r="C7" s="60"/>
      <c r="D7" s="179"/>
      <c r="E7" s="178"/>
      <c r="F7" s="174"/>
      <c r="G7" s="174"/>
      <c r="H7" s="174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4" ht="15" customHeight="1" x14ac:dyDescent="0.25">
      <c r="A8" s="180"/>
      <c r="B8" s="181"/>
      <c r="C8" s="181"/>
      <c r="D8" s="181"/>
      <c r="E8" s="181"/>
      <c r="F8" s="181"/>
      <c r="G8" s="181"/>
      <c r="H8" s="181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4" ht="19.5" customHeight="1" thickBot="1" x14ac:dyDescent="0.3">
      <c r="A9" s="182" t="s">
        <v>749</v>
      </c>
      <c r="B9" s="60"/>
      <c r="C9" s="60"/>
      <c r="D9" s="183"/>
      <c r="E9" s="60"/>
      <c r="F9" s="184"/>
      <c r="G9" s="185"/>
      <c r="H9" s="185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4" ht="27" customHeight="1" thickBot="1" x14ac:dyDescent="0.3">
      <c r="A10" s="186" t="s">
        <v>729</v>
      </c>
      <c r="B10" s="187" t="s">
        <v>512</v>
      </c>
      <c r="C10" s="187" t="s">
        <v>513</v>
      </c>
      <c r="D10" s="187" t="s">
        <v>250</v>
      </c>
      <c r="E10" s="115" t="s">
        <v>731</v>
      </c>
      <c r="F10" s="187" t="s">
        <v>0</v>
      </c>
      <c r="G10" s="188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4" s="192" customFormat="1" ht="12" thickBot="1" x14ac:dyDescent="0.25">
      <c r="A11" s="189" t="s">
        <v>514</v>
      </c>
      <c r="B11" s="190" t="s">
        <v>515</v>
      </c>
      <c r="C11" s="190" t="s">
        <v>252</v>
      </c>
      <c r="D11" s="190" t="s">
        <v>253</v>
      </c>
      <c r="E11" s="190" t="s">
        <v>516</v>
      </c>
      <c r="F11" s="190" t="s">
        <v>0</v>
      </c>
      <c r="G11" s="190" t="s">
        <v>517</v>
      </c>
      <c r="H11" s="191" t="s">
        <v>725</v>
      </c>
      <c r="I11" s="575" t="s">
        <v>254</v>
      </c>
      <c r="J11" s="533" t="s">
        <v>255</v>
      </c>
      <c r="K11" s="533" t="s">
        <v>256</v>
      </c>
      <c r="L11" s="533" t="s">
        <v>257</v>
      </c>
      <c r="M11" s="533" t="s">
        <v>804</v>
      </c>
      <c r="N11" s="576" t="s">
        <v>827</v>
      </c>
      <c r="O11" s="534" t="s">
        <v>776</v>
      </c>
      <c r="P11" s="533" t="s">
        <v>789</v>
      </c>
      <c r="Q11" s="533" t="s">
        <v>776</v>
      </c>
      <c r="R11" s="533" t="s">
        <v>776</v>
      </c>
      <c r="S11" s="533" t="s">
        <v>789</v>
      </c>
      <c r="T11" s="533" t="s">
        <v>789</v>
      </c>
      <c r="U11" s="533" t="s">
        <v>776</v>
      </c>
      <c r="V11" s="534" t="s">
        <v>777</v>
      </c>
      <c r="W11" s="533" t="s">
        <v>777</v>
      </c>
      <c r="X11" s="533" t="s">
        <v>777</v>
      </c>
      <c r="Y11" s="533" t="s">
        <v>777</v>
      </c>
      <c r="Z11" s="534" t="s">
        <v>775</v>
      </c>
      <c r="AA11" s="533" t="s">
        <v>273</v>
      </c>
      <c r="AB11" s="533" t="s">
        <v>274</v>
      </c>
      <c r="AC11" s="533" t="s">
        <v>803</v>
      </c>
      <c r="AD11" s="580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34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827</v>
      </c>
    </row>
    <row r="12" spans="1:44" ht="14.1" customHeight="1" x14ac:dyDescent="0.25">
      <c r="A12" s="193">
        <v>1</v>
      </c>
      <c r="B12" s="194">
        <v>4486</v>
      </c>
      <c r="C12" s="195">
        <v>600075176</v>
      </c>
      <c r="D12" s="195">
        <v>46750401</v>
      </c>
      <c r="E12" s="196" t="s">
        <v>287</v>
      </c>
      <c r="F12" s="194">
        <v>3233</v>
      </c>
      <c r="G12" s="197" t="s">
        <v>283</v>
      </c>
      <c r="H12" s="197" t="s">
        <v>263</v>
      </c>
      <c r="I12" s="585">
        <f>SUM(J12:M12)</f>
        <v>4804763</v>
      </c>
      <c r="J12" s="524">
        <v>3564364</v>
      </c>
      <c r="K12" s="781">
        <f>ROUND(J12*33.8%,0)</f>
        <v>1204755</v>
      </c>
      <c r="L12" s="781">
        <f>ROUND(J12*1%,0)</f>
        <v>35644</v>
      </c>
      <c r="M12" s="526">
        <v>0</v>
      </c>
      <c r="N12" s="815">
        <v>6.03</v>
      </c>
      <c r="O12" s="638">
        <f>V12*-1</f>
        <v>-30000</v>
      </c>
      <c r="P12" s="526">
        <v>0</v>
      </c>
      <c r="Q12" s="526">
        <v>0</v>
      </c>
      <c r="R12" s="526">
        <v>0</v>
      </c>
      <c r="S12" s="526">
        <v>0</v>
      </c>
      <c r="T12" s="526">
        <v>0</v>
      </c>
      <c r="U12" s="526">
        <f>O12+P12+Q12+R12+S12+T12</f>
        <v>-30000</v>
      </c>
      <c r="V12" s="526">
        <v>30000</v>
      </c>
      <c r="W12" s="526">
        <v>0</v>
      </c>
      <c r="X12" s="526">
        <v>0</v>
      </c>
      <c r="Y12" s="526">
        <f>V12+W12+X12</f>
        <v>30000</v>
      </c>
      <c r="Z12" s="526">
        <f>U12+Y12</f>
        <v>0</v>
      </c>
      <c r="AA12" s="639">
        <f>ROUND((U12+Y12)*33.8%,0)</f>
        <v>0</v>
      </c>
      <c r="AB12" s="639">
        <f>ROUND(U12*1%,0)</f>
        <v>-300</v>
      </c>
      <c r="AC12" s="526">
        <v>0</v>
      </c>
      <c r="AD12" s="825">
        <f>Z12+AA12+AB12+AC12</f>
        <v>-300</v>
      </c>
      <c r="AE12" s="828">
        <v>-0.05</v>
      </c>
      <c r="AF12" s="525">
        <v>0</v>
      </c>
      <c r="AG12" s="525">
        <v>0</v>
      </c>
      <c r="AH12" s="525">
        <v>0</v>
      </c>
      <c r="AI12" s="525">
        <v>0</v>
      </c>
      <c r="AJ12" s="525">
        <v>0</v>
      </c>
      <c r="AK12" s="625">
        <f>SUM(AE12:AJ12)</f>
        <v>-0.05</v>
      </c>
      <c r="AL12" s="638">
        <f>I12+AD12</f>
        <v>4804463</v>
      </c>
      <c r="AM12" s="526">
        <f>J12+U12</f>
        <v>3534364</v>
      </c>
      <c r="AN12" s="526">
        <f>Y12</f>
        <v>30000</v>
      </c>
      <c r="AO12" s="526">
        <f>K12+AA12</f>
        <v>1204755</v>
      </c>
      <c r="AP12" s="526">
        <f>L12+AB12</f>
        <v>35344</v>
      </c>
      <c r="AQ12" s="526">
        <f>M12+AC12</f>
        <v>0</v>
      </c>
      <c r="AR12" s="625">
        <f>N12+AK12</f>
        <v>5.98</v>
      </c>
    </row>
    <row r="13" spans="1:44" ht="12.95" customHeight="1" x14ac:dyDescent="0.25">
      <c r="A13" s="198">
        <v>1</v>
      </c>
      <c r="B13" s="199">
        <v>4486</v>
      </c>
      <c r="C13" s="200">
        <v>600075176</v>
      </c>
      <c r="D13" s="200">
        <v>46750401</v>
      </c>
      <c r="E13" s="201" t="s">
        <v>288</v>
      </c>
      <c r="F13" s="202"/>
      <c r="G13" s="203"/>
      <c r="H13" s="203"/>
      <c r="I13" s="686">
        <f t="shared" ref="I13:AR13" si="0">SUM(I12)</f>
        <v>4804763</v>
      </c>
      <c r="J13" s="355">
        <f t="shared" si="0"/>
        <v>3564364</v>
      </c>
      <c r="K13" s="355">
        <f t="shared" si="0"/>
        <v>1204755</v>
      </c>
      <c r="L13" s="355">
        <f t="shared" si="0"/>
        <v>35644</v>
      </c>
      <c r="M13" s="355">
        <f t="shared" ref="M13" si="1">SUM(M12)</f>
        <v>0</v>
      </c>
      <c r="N13" s="816">
        <f t="shared" si="0"/>
        <v>6.03</v>
      </c>
      <c r="O13" s="686">
        <f t="shared" si="0"/>
        <v>-30000</v>
      </c>
      <c r="P13" s="355">
        <f t="shared" si="0"/>
        <v>0</v>
      </c>
      <c r="Q13" s="355">
        <f t="shared" si="0"/>
        <v>0</v>
      </c>
      <c r="R13" s="355">
        <f t="shared" si="0"/>
        <v>0</v>
      </c>
      <c r="S13" s="355">
        <f t="shared" si="0"/>
        <v>0</v>
      </c>
      <c r="T13" s="355">
        <f t="shared" si="0"/>
        <v>0</v>
      </c>
      <c r="U13" s="355">
        <f t="shared" si="0"/>
        <v>-30000</v>
      </c>
      <c r="V13" s="355">
        <f t="shared" si="0"/>
        <v>30000</v>
      </c>
      <c r="W13" s="355">
        <f t="shared" si="0"/>
        <v>0</v>
      </c>
      <c r="X13" s="355">
        <f t="shared" si="0"/>
        <v>0</v>
      </c>
      <c r="Y13" s="355">
        <f t="shared" si="0"/>
        <v>30000</v>
      </c>
      <c r="Z13" s="355">
        <f t="shared" si="0"/>
        <v>0</v>
      </c>
      <c r="AA13" s="355">
        <f t="shared" si="0"/>
        <v>0</v>
      </c>
      <c r="AB13" s="355">
        <f t="shared" si="0"/>
        <v>-300</v>
      </c>
      <c r="AC13" s="355">
        <f t="shared" si="0"/>
        <v>0</v>
      </c>
      <c r="AD13" s="683">
        <f t="shared" si="0"/>
        <v>-300</v>
      </c>
      <c r="AE13" s="829">
        <f t="shared" si="0"/>
        <v>-0.05</v>
      </c>
      <c r="AF13" s="356">
        <f t="shared" si="0"/>
        <v>0</v>
      </c>
      <c r="AG13" s="356">
        <f t="shared" si="0"/>
        <v>0</v>
      </c>
      <c r="AH13" s="356">
        <f t="shared" si="0"/>
        <v>0</v>
      </c>
      <c r="AI13" s="356">
        <f t="shared" si="0"/>
        <v>0</v>
      </c>
      <c r="AJ13" s="356">
        <f t="shared" si="0"/>
        <v>0</v>
      </c>
      <c r="AK13" s="253">
        <f t="shared" si="0"/>
        <v>-0.05</v>
      </c>
      <c r="AL13" s="686">
        <f t="shared" si="0"/>
        <v>4804463</v>
      </c>
      <c r="AM13" s="355">
        <f t="shared" si="0"/>
        <v>3534364</v>
      </c>
      <c r="AN13" s="355">
        <f t="shared" si="0"/>
        <v>30000</v>
      </c>
      <c r="AO13" s="355">
        <f t="shared" si="0"/>
        <v>1204755</v>
      </c>
      <c r="AP13" s="355">
        <f t="shared" si="0"/>
        <v>35344</v>
      </c>
      <c r="AQ13" s="355">
        <f t="shared" si="0"/>
        <v>0</v>
      </c>
      <c r="AR13" s="253">
        <f t="shared" si="0"/>
        <v>5.98</v>
      </c>
    </row>
    <row r="14" spans="1:44" ht="12.95" customHeight="1" x14ac:dyDescent="0.25">
      <c r="A14" s="206">
        <v>2</v>
      </c>
      <c r="B14" s="206">
        <v>4419</v>
      </c>
      <c r="C14" s="393">
        <v>600074056</v>
      </c>
      <c r="D14" s="206">
        <v>72744049</v>
      </c>
      <c r="E14" s="248" t="s">
        <v>289</v>
      </c>
      <c r="F14" s="206">
        <v>3111</v>
      </c>
      <c r="G14" s="209" t="s">
        <v>290</v>
      </c>
      <c r="H14" s="210" t="s">
        <v>262</v>
      </c>
      <c r="I14" s="586">
        <f t="shared" ref="I14:I16" si="2">SUM(J14:M14)</f>
        <v>24893233</v>
      </c>
      <c r="J14" s="490">
        <v>18466790</v>
      </c>
      <c r="K14" s="431">
        <f>ROUND(J14*33.8%,0)</f>
        <v>6241775</v>
      </c>
      <c r="L14" s="431">
        <f>ROUND(J14*1%,0)</f>
        <v>184668</v>
      </c>
      <c r="M14" s="325">
        <v>0</v>
      </c>
      <c r="N14" s="752">
        <v>31.5</v>
      </c>
      <c r="O14" s="327">
        <f>V14*-1</f>
        <v>0</v>
      </c>
      <c r="P14" s="492">
        <v>0</v>
      </c>
      <c r="Q14" s="325">
        <v>0</v>
      </c>
      <c r="R14" s="325">
        <v>0</v>
      </c>
      <c r="S14" s="325">
        <v>0</v>
      </c>
      <c r="T14" s="325">
        <v>0</v>
      </c>
      <c r="U14" s="492">
        <f>O14+P14+Q14+R14+S14+T14</f>
        <v>0</v>
      </c>
      <c r="V14" s="325">
        <v>0</v>
      </c>
      <c r="W14" s="325">
        <v>0</v>
      </c>
      <c r="X14" s="325">
        <v>0</v>
      </c>
      <c r="Y14" s="492">
        <f t="shared" ref="Y14:Y16" si="3">V14+W14+X14</f>
        <v>0</v>
      </c>
      <c r="Z14" s="492">
        <f t="shared" ref="Z14:Z16" si="4">U14+Y14</f>
        <v>0</v>
      </c>
      <c r="AA14" s="494">
        <f t="shared" ref="AA14:AA16" si="5">ROUND((U14+Y14)*33.8%,0)</f>
        <v>0</v>
      </c>
      <c r="AB14" s="494">
        <f t="shared" ref="AB14:AB16" si="6">ROUND(U14*1%,0)</f>
        <v>0</v>
      </c>
      <c r="AC14" s="492">
        <v>0</v>
      </c>
      <c r="AD14" s="789">
        <f t="shared" ref="AD14:AD16" si="7">Z14+AA14+AB14+AC14</f>
        <v>0</v>
      </c>
      <c r="AE14" s="715">
        <v>0</v>
      </c>
      <c r="AF14" s="491">
        <v>0</v>
      </c>
      <c r="AG14" s="326">
        <v>0</v>
      </c>
      <c r="AH14" s="326">
        <v>0</v>
      </c>
      <c r="AI14" s="326">
        <v>0</v>
      </c>
      <c r="AJ14" s="326">
        <v>0</v>
      </c>
      <c r="AK14" s="626">
        <f>SUM(AE14:AJ14)</f>
        <v>0</v>
      </c>
      <c r="AL14" s="696">
        <f>I14+AD14</f>
        <v>24893233</v>
      </c>
      <c r="AM14" s="492">
        <f>J14+U14</f>
        <v>18466790</v>
      </c>
      <c r="AN14" s="492">
        <f>Y14</f>
        <v>0</v>
      </c>
      <c r="AO14" s="492">
        <f t="shared" ref="AO14:AQ16" si="8">K14+AA14</f>
        <v>6241775</v>
      </c>
      <c r="AP14" s="492">
        <f t="shared" si="8"/>
        <v>184668</v>
      </c>
      <c r="AQ14" s="492">
        <f t="shared" si="8"/>
        <v>0</v>
      </c>
      <c r="AR14" s="626">
        <f>N14+AK14</f>
        <v>31.5</v>
      </c>
    </row>
    <row r="15" spans="1:44" ht="12.95" customHeight="1" x14ac:dyDescent="0.25">
      <c r="A15" s="206">
        <v>2</v>
      </c>
      <c r="B15" s="206">
        <v>4419</v>
      </c>
      <c r="C15" s="393">
        <v>600074056</v>
      </c>
      <c r="D15" s="206">
        <v>72744049</v>
      </c>
      <c r="E15" s="248" t="s">
        <v>289</v>
      </c>
      <c r="F15" s="206">
        <v>3111</v>
      </c>
      <c r="G15" s="211" t="s">
        <v>279</v>
      </c>
      <c r="H15" s="210" t="s">
        <v>262</v>
      </c>
      <c r="I15" s="586">
        <f t="shared" si="2"/>
        <v>1148949</v>
      </c>
      <c r="J15" s="490">
        <v>852336</v>
      </c>
      <c r="K15" s="431">
        <f t="shared" ref="K15:K16" si="9">ROUND(J15*33.8%,0)</f>
        <v>288090</v>
      </c>
      <c r="L15" s="431">
        <f t="shared" ref="L15:L16" si="10">ROUND(J15*1%,0)</f>
        <v>8523</v>
      </c>
      <c r="M15" s="325">
        <v>0</v>
      </c>
      <c r="N15" s="752">
        <v>2</v>
      </c>
      <c r="O15" s="327">
        <f>V15*-1</f>
        <v>0</v>
      </c>
      <c r="P15" s="492">
        <v>0</v>
      </c>
      <c r="Q15" s="325">
        <v>0</v>
      </c>
      <c r="R15" s="325">
        <v>0</v>
      </c>
      <c r="S15" s="325">
        <v>0</v>
      </c>
      <c r="T15" s="325">
        <v>0</v>
      </c>
      <c r="U15" s="492">
        <f>O15+P15+Q15+R15+S15+T15</f>
        <v>0</v>
      </c>
      <c r="V15" s="325">
        <v>0</v>
      </c>
      <c r="W15" s="325">
        <v>0</v>
      </c>
      <c r="X15" s="325">
        <v>0</v>
      </c>
      <c r="Y15" s="492">
        <f t="shared" si="3"/>
        <v>0</v>
      </c>
      <c r="Z15" s="492">
        <f t="shared" si="4"/>
        <v>0</v>
      </c>
      <c r="AA15" s="494">
        <f t="shared" si="5"/>
        <v>0</v>
      </c>
      <c r="AB15" s="494">
        <f t="shared" si="6"/>
        <v>0</v>
      </c>
      <c r="AC15" s="492">
        <v>0</v>
      </c>
      <c r="AD15" s="789">
        <f t="shared" si="7"/>
        <v>0</v>
      </c>
      <c r="AE15" s="715">
        <v>0</v>
      </c>
      <c r="AF15" s="491">
        <v>0</v>
      </c>
      <c r="AG15" s="326">
        <v>0</v>
      </c>
      <c r="AH15" s="326">
        <v>0</v>
      </c>
      <c r="AI15" s="326">
        <v>0</v>
      </c>
      <c r="AJ15" s="326">
        <v>0</v>
      </c>
      <c r="AK15" s="626">
        <f>SUM(AE15:AJ15)</f>
        <v>0</v>
      </c>
      <c r="AL15" s="696">
        <f>I15+AD15</f>
        <v>1148949</v>
      </c>
      <c r="AM15" s="492">
        <f>J15+U15</f>
        <v>852336</v>
      </c>
      <c r="AN15" s="492">
        <f>Y15</f>
        <v>0</v>
      </c>
      <c r="AO15" s="492">
        <f t="shared" si="8"/>
        <v>288090</v>
      </c>
      <c r="AP15" s="492">
        <f t="shared" si="8"/>
        <v>8523</v>
      </c>
      <c r="AQ15" s="492">
        <f t="shared" si="8"/>
        <v>0</v>
      </c>
      <c r="AR15" s="626">
        <f>N15+AK15</f>
        <v>2</v>
      </c>
    </row>
    <row r="16" spans="1:44" ht="12.95" customHeight="1" x14ac:dyDescent="0.25">
      <c r="A16" s="206">
        <v>2</v>
      </c>
      <c r="B16" s="206">
        <v>4419</v>
      </c>
      <c r="C16" s="393">
        <v>600074056</v>
      </c>
      <c r="D16" s="206">
        <v>72744049</v>
      </c>
      <c r="E16" s="248" t="s">
        <v>289</v>
      </c>
      <c r="F16" s="206">
        <v>3111</v>
      </c>
      <c r="G16" s="209" t="s">
        <v>284</v>
      </c>
      <c r="H16" s="210" t="s">
        <v>263</v>
      </c>
      <c r="I16" s="586">
        <f t="shared" si="2"/>
        <v>0</v>
      </c>
      <c r="J16" s="490"/>
      <c r="K16" s="431">
        <f t="shared" si="9"/>
        <v>0</v>
      </c>
      <c r="L16" s="431">
        <f t="shared" si="10"/>
        <v>0</v>
      </c>
      <c r="M16" s="325">
        <v>0</v>
      </c>
      <c r="N16" s="752"/>
      <c r="O16" s="327">
        <f>V16*-1</f>
        <v>0</v>
      </c>
      <c r="P16" s="492">
        <f>1808887</f>
        <v>1808887</v>
      </c>
      <c r="Q16" s="325">
        <v>0</v>
      </c>
      <c r="R16" s="325">
        <v>0</v>
      </c>
      <c r="S16" s="325">
        <v>0</v>
      </c>
      <c r="T16" s="325">
        <v>0</v>
      </c>
      <c r="U16" s="492">
        <f>O16+P16+Q16+R16+S16+T16</f>
        <v>1808887</v>
      </c>
      <c r="V16" s="325">
        <v>0</v>
      </c>
      <c r="W16" s="325">
        <v>0</v>
      </c>
      <c r="X16" s="325">
        <v>0</v>
      </c>
      <c r="Y16" s="492">
        <f t="shared" si="3"/>
        <v>0</v>
      </c>
      <c r="Z16" s="492">
        <f t="shared" si="4"/>
        <v>1808887</v>
      </c>
      <c r="AA16" s="494">
        <f t="shared" si="5"/>
        <v>611404</v>
      </c>
      <c r="AB16" s="494">
        <f t="shared" si="6"/>
        <v>18089</v>
      </c>
      <c r="AC16" s="492">
        <v>0</v>
      </c>
      <c r="AD16" s="789">
        <f t="shared" si="7"/>
        <v>2438380</v>
      </c>
      <c r="AE16" s="715">
        <v>0</v>
      </c>
      <c r="AF16" s="491">
        <f>5.05</f>
        <v>5.05</v>
      </c>
      <c r="AG16" s="326">
        <v>0</v>
      </c>
      <c r="AH16" s="326">
        <v>0</v>
      </c>
      <c r="AI16" s="326">
        <v>0</v>
      </c>
      <c r="AJ16" s="326">
        <v>0</v>
      </c>
      <c r="AK16" s="626">
        <f>SUM(AE16:AJ16)</f>
        <v>5.05</v>
      </c>
      <c r="AL16" s="696">
        <f>I16+AD16</f>
        <v>2438380</v>
      </c>
      <c r="AM16" s="492">
        <f>J16+U16</f>
        <v>1808887</v>
      </c>
      <c r="AN16" s="492">
        <f>Y16</f>
        <v>0</v>
      </c>
      <c r="AO16" s="492">
        <f t="shared" si="8"/>
        <v>611404</v>
      </c>
      <c r="AP16" s="492">
        <f t="shared" si="8"/>
        <v>18089</v>
      </c>
      <c r="AQ16" s="492">
        <f t="shared" si="8"/>
        <v>0</v>
      </c>
      <c r="AR16" s="626">
        <f>N16+AK16</f>
        <v>5.05</v>
      </c>
    </row>
    <row r="17" spans="1:44" ht="12.95" customHeight="1" x14ac:dyDescent="0.25">
      <c r="A17" s="394">
        <v>2</v>
      </c>
      <c r="B17" s="395">
        <v>4419</v>
      </c>
      <c r="C17" s="396">
        <v>600074056</v>
      </c>
      <c r="D17" s="395">
        <v>72744049</v>
      </c>
      <c r="E17" s="397" t="s">
        <v>291</v>
      </c>
      <c r="F17" s="200"/>
      <c r="G17" s="214"/>
      <c r="H17" s="214"/>
      <c r="I17" s="688">
        <f t="shared" ref="I17:AR17" si="11">SUM(I14:I16)</f>
        <v>26042182</v>
      </c>
      <c r="J17" s="353">
        <f t="shared" si="11"/>
        <v>19319126</v>
      </c>
      <c r="K17" s="353">
        <f t="shared" si="11"/>
        <v>6529865</v>
      </c>
      <c r="L17" s="353">
        <f t="shared" si="11"/>
        <v>193191</v>
      </c>
      <c r="M17" s="353">
        <f t="shared" ref="M17" si="12">SUM(M14:M16)</f>
        <v>0</v>
      </c>
      <c r="N17" s="817">
        <f t="shared" si="11"/>
        <v>33.5</v>
      </c>
      <c r="O17" s="688">
        <f t="shared" si="11"/>
        <v>0</v>
      </c>
      <c r="P17" s="353">
        <f t="shared" si="11"/>
        <v>1808887</v>
      </c>
      <c r="Q17" s="353">
        <f t="shared" si="11"/>
        <v>0</v>
      </c>
      <c r="R17" s="353">
        <f t="shared" si="11"/>
        <v>0</v>
      </c>
      <c r="S17" s="353">
        <f t="shared" si="11"/>
        <v>0</v>
      </c>
      <c r="T17" s="353">
        <f t="shared" si="11"/>
        <v>0</v>
      </c>
      <c r="U17" s="353">
        <f t="shared" si="11"/>
        <v>1808887</v>
      </c>
      <c r="V17" s="353">
        <f t="shared" si="11"/>
        <v>0</v>
      </c>
      <c r="W17" s="353">
        <f t="shared" si="11"/>
        <v>0</v>
      </c>
      <c r="X17" s="353">
        <f t="shared" si="11"/>
        <v>0</v>
      </c>
      <c r="Y17" s="353">
        <f t="shared" si="11"/>
        <v>0</v>
      </c>
      <c r="Z17" s="353">
        <f t="shared" si="11"/>
        <v>1808887</v>
      </c>
      <c r="AA17" s="353">
        <f t="shared" si="11"/>
        <v>611404</v>
      </c>
      <c r="AB17" s="353">
        <f t="shared" si="11"/>
        <v>18089</v>
      </c>
      <c r="AC17" s="353">
        <f t="shared" si="11"/>
        <v>0</v>
      </c>
      <c r="AD17" s="685">
        <f t="shared" si="11"/>
        <v>2438380</v>
      </c>
      <c r="AE17" s="830">
        <v>0</v>
      </c>
      <c r="AF17" s="354">
        <f t="shared" si="11"/>
        <v>5.05</v>
      </c>
      <c r="AG17" s="354">
        <f t="shared" si="11"/>
        <v>0</v>
      </c>
      <c r="AH17" s="354">
        <f t="shared" si="11"/>
        <v>0</v>
      </c>
      <c r="AI17" s="354">
        <f t="shared" si="11"/>
        <v>0</v>
      </c>
      <c r="AJ17" s="354">
        <f t="shared" si="11"/>
        <v>0</v>
      </c>
      <c r="AK17" s="215">
        <f t="shared" si="11"/>
        <v>5.05</v>
      </c>
      <c r="AL17" s="688">
        <f t="shared" si="11"/>
        <v>28480562</v>
      </c>
      <c r="AM17" s="353">
        <f t="shared" si="11"/>
        <v>21128013</v>
      </c>
      <c r="AN17" s="353">
        <f t="shared" si="11"/>
        <v>0</v>
      </c>
      <c r="AO17" s="353">
        <f t="shared" si="11"/>
        <v>7141269</v>
      </c>
      <c r="AP17" s="353">
        <f t="shared" si="11"/>
        <v>211280</v>
      </c>
      <c r="AQ17" s="353">
        <f t="shared" si="11"/>
        <v>0</v>
      </c>
      <c r="AR17" s="215">
        <f t="shared" si="11"/>
        <v>38.549999999999997</v>
      </c>
    </row>
    <row r="18" spans="1:44" ht="12.95" customHeight="1" x14ac:dyDescent="0.25">
      <c r="A18" s="205">
        <v>3</v>
      </c>
      <c r="B18" s="206">
        <v>4464</v>
      </c>
      <c r="C18" s="206" t="s">
        <v>292</v>
      </c>
      <c r="D18" s="206">
        <v>46750461</v>
      </c>
      <c r="E18" s="208" t="s">
        <v>293</v>
      </c>
      <c r="F18" s="206">
        <v>3113</v>
      </c>
      <c r="G18" s="209" t="s">
        <v>294</v>
      </c>
      <c r="H18" s="209" t="s">
        <v>262</v>
      </c>
      <c r="I18" s="586">
        <f t="shared" ref="I18:I20" si="13">SUM(J18:M18)</f>
        <v>32981384</v>
      </c>
      <c r="J18" s="490">
        <v>24466902</v>
      </c>
      <c r="K18" s="431">
        <f t="shared" ref="K18:K20" si="14">ROUND(J18*33.8%,0)</f>
        <v>8269813</v>
      </c>
      <c r="L18" s="431">
        <f t="shared" ref="L18:L20" si="15">ROUND(J18*1%,0)</f>
        <v>244669</v>
      </c>
      <c r="M18" s="325">
        <v>0</v>
      </c>
      <c r="N18" s="752">
        <v>33.273000000000003</v>
      </c>
      <c r="O18" s="327">
        <f>V18*-1</f>
        <v>-42000</v>
      </c>
      <c r="P18" s="492">
        <v>0</v>
      </c>
      <c r="Q18" s="325">
        <v>0</v>
      </c>
      <c r="R18" s="325">
        <v>0</v>
      </c>
      <c r="S18" s="325">
        <v>0</v>
      </c>
      <c r="T18" s="325">
        <v>0</v>
      </c>
      <c r="U18" s="492">
        <f>O18+P18+Q18+R18+S18+T18</f>
        <v>-42000</v>
      </c>
      <c r="V18" s="325">
        <v>42000</v>
      </c>
      <c r="W18" s="325">
        <v>104794</v>
      </c>
      <c r="X18" s="325">
        <v>0</v>
      </c>
      <c r="Y18" s="492">
        <f t="shared" ref="Y18:Y20" si="16">V18+W18+X18</f>
        <v>146794</v>
      </c>
      <c r="Z18" s="492">
        <f t="shared" ref="Z18:Z20" si="17">U18+Y18</f>
        <v>104794</v>
      </c>
      <c r="AA18" s="494">
        <f t="shared" ref="AA18:AA20" si="18">ROUND((U18+Y18)*33.8%,0)</f>
        <v>35420</v>
      </c>
      <c r="AB18" s="494">
        <f t="shared" ref="AB18:AB20" si="19">ROUND(U18*1%,0)</f>
        <v>-420</v>
      </c>
      <c r="AC18" s="492">
        <v>0</v>
      </c>
      <c r="AD18" s="789">
        <f t="shared" ref="AD18:AD20" si="20">Z18+AA18+AB18+AC18</f>
        <v>139794</v>
      </c>
      <c r="AE18" s="715">
        <v>-0.06</v>
      </c>
      <c r="AF18" s="491">
        <v>0</v>
      </c>
      <c r="AG18" s="326">
        <v>0</v>
      </c>
      <c r="AH18" s="326">
        <v>0</v>
      </c>
      <c r="AI18" s="326">
        <v>0</v>
      </c>
      <c r="AJ18" s="326">
        <v>0</v>
      </c>
      <c r="AK18" s="626">
        <f>SUM(AE18:AJ18)</f>
        <v>-0.06</v>
      </c>
      <c r="AL18" s="696">
        <f>I18+AD18</f>
        <v>33121178</v>
      </c>
      <c r="AM18" s="492">
        <f>J18+U18</f>
        <v>24424902</v>
      </c>
      <c r="AN18" s="492">
        <f>Y18</f>
        <v>146794</v>
      </c>
      <c r="AO18" s="492">
        <f t="shared" ref="AO18:AQ20" si="21">K18+AA18</f>
        <v>8305233</v>
      </c>
      <c r="AP18" s="492">
        <f t="shared" si="21"/>
        <v>244249</v>
      </c>
      <c r="AQ18" s="492">
        <f t="shared" si="21"/>
        <v>0</v>
      </c>
      <c r="AR18" s="626">
        <f>N18+AK18</f>
        <v>33.213000000000001</v>
      </c>
    </row>
    <row r="19" spans="1:44" ht="12.95" customHeight="1" x14ac:dyDescent="0.25">
      <c r="A19" s="205">
        <v>3</v>
      </c>
      <c r="B19" s="206">
        <v>4464</v>
      </c>
      <c r="C19" s="206" t="s">
        <v>292</v>
      </c>
      <c r="D19" s="206">
        <v>46750461</v>
      </c>
      <c r="E19" s="208" t="s">
        <v>295</v>
      </c>
      <c r="F19" s="206">
        <v>3113</v>
      </c>
      <c r="G19" s="209" t="s">
        <v>284</v>
      </c>
      <c r="H19" s="209" t="s">
        <v>263</v>
      </c>
      <c r="I19" s="586">
        <f t="shared" si="13"/>
        <v>0</v>
      </c>
      <c r="J19" s="490"/>
      <c r="K19" s="431">
        <f t="shared" si="14"/>
        <v>0</v>
      </c>
      <c r="L19" s="431">
        <f t="shared" si="15"/>
        <v>0</v>
      </c>
      <c r="M19" s="325">
        <v>0</v>
      </c>
      <c r="N19" s="752"/>
      <c r="O19" s="327">
        <f>V19*-1</f>
        <v>0</v>
      </c>
      <c r="P19" s="492">
        <f>1074148-154334</f>
        <v>919814</v>
      </c>
      <c r="Q19" s="325">
        <v>0</v>
      </c>
      <c r="R19" s="325">
        <v>0</v>
      </c>
      <c r="S19" s="325">
        <v>0</v>
      </c>
      <c r="T19" s="325">
        <v>0</v>
      </c>
      <c r="U19" s="492">
        <f>O19+P19+Q19+R19+S19+T19</f>
        <v>919814</v>
      </c>
      <c r="V19" s="325">
        <v>0</v>
      </c>
      <c r="W19" s="325">
        <v>0</v>
      </c>
      <c r="X19" s="325">
        <v>0</v>
      </c>
      <c r="Y19" s="492">
        <f t="shared" si="16"/>
        <v>0</v>
      </c>
      <c r="Z19" s="492">
        <f t="shared" si="17"/>
        <v>919814</v>
      </c>
      <c r="AA19" s="494">
        <f t="shared" si="18"/>
        <v>310897</v>
      </c>
      <c r="AB19" s="494">
        <f t="shared" si="19"/>
        <v>9198</v>
      </c>
      <c r="AC19" s="492">
        <v>0</v>
      </c>
      <c r="AD19" s="789">
        <f t="shared" si="20"/>
        <v>1239909</v>
      </c>
      <c r="AE19" s="715">
        <v>0</v>
      </c>
      <c r="AF19" s="491">
        <f>2.81-0.39</f>
        <v>2.42</v>
      </c>
      <c r="AG19" s="326">
        <v>0</v>
      </c>
      <c r="AH19" s="326">
        <v>0</v>
      </c>
      <c r="AI19" s="326">
        <v>0</v>
      </c>
      <c r="AJ19" s="326">
        <v>0</v>
      </c>
      <c r="AK19" s="626">
        <f>SUM(AE19:AJ19)</f>
        <v>2.42</v>
      </c>
      <c r="AL19" s="696">
        <f>I19+AD19</f>
        <v>1239909</v>
      </c>
      <c r="AM19" s="492">
        <f>J19+U19</f>
        <v>919814</v>
      </c>
      <c r="AN19" s="492">
        <f>Y19</f>
        <v>0</v>
      </c>
      <c r="AO19" s="492">
        <f t="shared" si="21"/>
        <v>310897</v>
      </c>
      <c r="AP19" s="492">
        <f t="shared" si="21"/>
        <v>9198</v>
      </c>
      <c r="AQ19" s="492">
        <f t="shared" si="21"/>
        <v>0</v>
      </c>
      <c r="AR19" s="626">
        <f>N19+AK19</f>
        <v>2.42</v>
      </c>
    </row>
    <row r="20" spans="1:44" ht="12.95" customHeight="1" x14ac:dyDescent="0.25">
      <c r="A20" s="205">
        <v>3</v>
      </c>
      <c r="B20" s="206">
        <v>4464</v>
      </c>
      <c r="C20" s="206" t="s">
        <v>292</v>
      </c>
      <c r="D20" s="206">
        <v>46750461</v>
      </c>
      <c r="E20" s="208" t="s">
        <v>295</v>
      </c>
      <c r="F20" s="206">
        <v>3143</v>
      </c>
      <c r="G20" s="209" t="s">
        <v>794</v>
      </c>
      <c r="H20" s="209" t="s">
        <v>262</v>
      </c>
      <c r="I20" s="586">
        <f t="shared" si="13"/>
        <v>3811985</v>
      </c>
      <c r="J20" s="490">
        <v>2827882</v>
      </c>
      <c r="K20" s="431">
        <f t="shared" si="14"/>
        <v>955824</v>
      </c>
      <c r="L20" s="431">
        <f t="shared" si="15"/>
        <v>28279</v>
      </c>
      <c r="M20" s="325">
        <v>0</v>
      </c>
      <c r="N20" s="752">
        <v>5.0286999999999997</v>
      </c>
      <c r="O20" s="327">
        <f>V20*-1</f>
        <v>-18000</v>
      </c>
      <c r="P20" s="492">
        <v>0</v>
      </c>
      <c r="Q20" s="325">
        <v>0</v>
      </c>
      <c r="R20" s="325">
        <v>0</v>
      </c>
      <c r="S20" s="325">
        <v>0</v>
      </c>
      <c r="T20" s="325">
        <v>0</v>
      </c>
      <c r="U20" s="492">
        <f>O20+P20+Q20+R20+S20+T20</f>
        <v>-18000</v>
      </c>
      <c r="V20" s="325">
        <v>18000</v>
      </c>
      <c r="W20" s="325">
        <v>0</v>
      </c>
      <c r="X20" s="325">
        <v>0</v>
      </c>
      <c r="Y20" s="492">
        <f t="shared" si="16"/>
        <v>18000</v>
      </c>
      <c r="Z20" s="492">
        <f t="shared" si="17"/>
        <v>0</v>
      </c>
      <c r="AA20" s="494">
        <f t="shared" si="18"/>
        <v>0</v>
      </c>
      <c r="AB20" s="494">
        <f t="shared" si="19"/>
        <v>-180</v>
      </c>
      <c r="AC20" s="492">
        <v>0</v>
      </c>
      <c r="AD20" s="789">
        <f t="shared" si="20"/>
        <v>-180</v>
      </c>
      <c r="AE20" s="715">
        <v>0</v>
      </c>
      <c r="AF20" s="491">
        <v>0</v>
      </c>
      <c r="AG20" s="326">
        <v>0</v>
      </c>
      <c r="AH20" s="326">
        <v>0</v>
      </c>
      <c r="AI20" s="326">
        <v>0</v>
      </c>
      <c r="AJ20" s="326">
        <v>0</v>
      </c>
      <c r="AK20" s="626">
        <f>SUM(AE20:AJ20)</f>
        <v>0</v>
      </c>
      <c r="AL20" s="696">
        <f>I20+AD20</f>
        <v>3811805</v>
      </c>
      <c r="AM20" s="492">
        <f>J20+U20</f>
        <v>2809882</v>
      </c>
      <c r="AN20" s="492">
        <f>Y20</f>
        <v>18000</v>
      </c>
      <c r="AO20" s="492">
        <f t="shared" si="21"/>
        <v>955824</v>
      </c>
      <c r="AP20" s="492">
        <f t="shared" si="21"/>
        <v>28099</v>
      </c>
      <c r="AQ20" s="492">
        <f t="shared" si="21"/>
        <v>0</v>
      </c>
      <c r="AR20" s="626">
        <f>N20+AK20</f>
        <v>5.0286999999999997</v>
      </c>
    </row>
    <row r="21" spans="1:44" ht="12.95" customHeight="1" x14ac:dyDescent="0.25">
      <c r="A21" s="198">
        <v>3</v>
      </c>
      <c r="B21" s="200">
        <v>4464</v>
      </c>
      <c r="C21" s="200" t="s">
        <v>292</v>
      </c>
      <c r="D21" s="200">
        <v>46750461</v>
      </c>
      <c r="E21" s="213" t="s">
        <v>296</v>
      </c>
      <c r="F21" s="200"/>
      <c r="G21" s="214"/>
      <c r="H21" s="214"/>
      <c r="I21" s="688">
        <f t="shared" ref="I21:AR21" si="22">SUM(I18:I20)</f>
        <v>36793369</v>
      </c>
      <c r="J21" s="353">
        <f t="shared" si="22"/>
        <v>27294784</v>
      </c>
      <c r="K21" s="353">
        <f t="shared" si="22"/>
        <v>9225637</v>
      </c>
      <c r="L21" s="353">
        <f t="shared" si="22"/>
        <v>272948</v>
      </c>
      <c r="M21" s="353">
        <f t="shared" ref="M21" si="23">SUM(M18:M20)</f>
        <v>0</v>
      </c>
      <c r="N21" s="817">
        <f t="shared" si="22"/>
        <v>38.301700000000004</v>
      </c>
      <c r="O21" s="688">
        <f t="shared" si="22"/>
        <v>-60000</v>
      </c>
      <c r="P21" s="353">
        <f t="shared" si="22"/>
        <v>919814</v>
      </c>
      <c r="Q21" s="353">
        <f t="shared" si="22"/>
        <v>0</v>
      </c>
      <c r="R21" s="353">
        <f t="shared" si="22"/>
        <v>0</v>
      </c>
      <c r="S21" s="353">
        <f t="shared" si="22"/>
        <v>0</v>
      </c>
      <c r="T21" s="353">
        <f t="shared" si="22"/>
        <v>0</v>
      </c>
      <c r="U21" s="353">
        <f t="shared" si="22"/>
        <v>859814</v>
      </c>
      <c r="V21" s="353">
        <f t="shared" si="22"/>
        <v>60000</v>
      </c>
      <c r="W21" s="353">
        <f t="shared" si="22"/>
        <v>104794</v>
      </c>
      <c r="X21" s="353">
        <f t="shared" si="22"/>
        <v>0</v>
      </c>
      <c r="Y21" s="353">
        <f t="shared" si="22"/>
        <v>164794</v>
      </c>
      <c r="Z21" s="353">
        <f t="shared" si="22"/>
        <v>1024608</v>
      </c>
      <c r="AA21" s="353">
        <f t="shared" si="22"/>
        <v>346317</v>
      </c>
      <c r="AB21" s="353">
        <f t="shared" si="22"/>
        <v>8598</v>
      </c>
      <c r="AC21" s="353">
        <f t="shared" si="22"/>
        <v>0</v>
      </c>
      <c r="AD21" s="685">
        <f t="shared" si="22"/>
        <v>1379523</v>
      </c>
      <c r="AE21" s="830">
        <v>-0.06</v>
      </c>
      <c r="AF21" s="354">
        <f t="shared" si="22"/>
        <v>2.42</v>
      </c>
      <c r="AG21" s="354">
        <f t="shared" si="22"/>
        <v>0</v>
      </c>
      <c r="AH21" s="354">
        <f t="shared" si="22"/>
        <v>0</v>
      </c>
      <c r="AI21" s="354">
        <f t="shared" si="22"/>
        <v>0</v>
      </c>
      <c r="AJ21" s="354">
        <f t="shared" si="22"/>
        <v>0</v>
      </c>
      <c r="AK21" s="215">
        <f t="shared" si="22"/>
        <v>2.36</v>
      </c>
      <c r="AL21" s="688">
        <f t="shared" si="22"/>
        <v>38172892</v>
      </c>
      <c r="AM21" s="353">
        <f t="shared" si="22"/>
        <v>28154598</v>
      </c>
      <c r="AN21" s="353">
        <f t="shared" si="22"/>
        <v>164794</v>
      </c>
      <c r="AO21" s="353">
        <f t="shared" si="22"/>
        <v>9571954</v>
      </c>
      <c r="AP21" s="353">
        <f t="shared" si="22"/>
        <v>281546</v>
      </c>
      <c r="AQ21" s="353">
        <f t="shared" si="22"/>
        <v>0</v>
      </c>
      <c r="AR21" s="215">
        <f t="shared" si="22"/>
        <v>40.661700000000003</v>
      </c>
    </row>
    <row r="22" spans="1:44" ht="12.95" customHeight="1" x14ac:dyDescent="0.25">
      <c r="A22" s="205">
        <v>4</v>
      </c>
      <c r="B22" s="206">
        <v>4457</v>
      </c>
      <c r="C22" s="206">
        <v>600074609</v>
      </c>
      <c r="D22" s="206">
        <v>72743964</v>
      </c>
      <c r="E22" s="208" t="s">
        <v>297</v>
      </c>
      <c r="F22" s="206">
        <v>3117</v>
      </c>
      <c r="G22" s="209" t="s">
        <v>294</v>
      </c>
      <c r="H22" s="209" t="s">
        <v>262</v>
      </c>
      <c r="I22" s="586">
        <f t="shared" ref="I22:I24" si="24">SUM(J22:M22)</f>
        <v>5530278</v>
      </c>
      <c r="J22" s="490">
        <v>4102580</v>
      </c>
      <c r="K22" s="431">
        <f t="shared" ref="K22:K24" si="25">ROUND(J22*33.8%,0)</f>
        <v>1386672</v>
      </c>
      <c r="L22" s="431">
        <f t="shared" ref="L22:L24" si="26">ROUND(J22*1%,0)</f>
        <v>41026</v>
      </c>
      <c r="M22" s="325">
        <v>0</v>
      </c>
      <c r="N22" s="752">
        <v>5.8262999999999998</v>
      </c>
      <c r="O22" s="327">
        <f>V22*-1</f>
        <v>-18000</v>
      </c>
      <c r="P22" s="492">
        <v>0</v>
      </c>
      <c r="Q22" s="325">
        <v>0</v>
      </c>
      <c r="R22" s="325">
        <v>0</v>
      </c>
      <c r="S22" s="325">
        <v>0</v>
      </c>
      <c r="T22" s="325">
        <v>0</v>
      </c>
      <c r="U22" s="492">
        <f>O22+P22+Q22+R22+S22+T22</f>
        <v>-18000</v>
      </c>
      <c r="V22" s="325">
        <v>18000</v>
      </c>
      <c r="W22" s="325">
        <v>0</v>
      </c>
      <c r="X22" s="325">
        <v>0</v>
      </c>
      <c r="Y22" s="492">
        <f t="shared" ref="Y22:Y24" si="27">V22+W22+X22</f>
        <v>18000</v>
      </c>
      <c r="Z22" s="492">
        <f t="shared" ref="Z22:Z24" si="28">U22+Y22</f>
        <v>0</v>
      </c>
      <c r="AA22" s="494">
        <f t="shared" ref="AA22:AA24" si="29">ROUND((U22+Y22)*33.8%,0)</f>
        <v>0</v>
      </c>
      <c r="AB22" s="494">
        <f t="shared" ref="AB22:AB24" si="30">ROUND(U22*1%,0)</f>
        <v>-180</v>
      </c>
      <c r="AC22" s="492">
        <v>0</v>
      </c>
      <c r="AD22" s="789">
        <f t="shared" ref="AD22:AD24" si="31">Z22+AA22+AB22+AC22</f>
        <v>-180</v>
      </c>
      <c r="AE22" s="715">
        <v>-0.01</v>
      </c>
      <c r="AF22" s="491">
        <v>0</v>
      </c>
      <c r="AG22" s="326">
        <v>0</v>
      </c>
      <c r="AH22" s="326">
        <v>0</v>
      </c>
      <c r="AI22" s="326">
        <v>0</v>
      </c>
      <c r="AJ22" s="326">
        <v>0</v>
      </c>
      <c r="AK22" s="626">
        <f>SUM(AE22:AJ22)</f>
        <v>-0.01</v>
      </c>
      <c r="AL22" s="696">
        <f>I22+AD22</f>
        <v>5530098</v>
      </c>
      <c r="AM22" s="492">
        <f>J22+U22</f>
        <v>4084580</v>
      </c>
      <c r="AN22" s="492">
        <f>Y22</f>
        <v>18000</v>
      </c>
      <c r="AO22" s="492">
        <f t="shared" ref="AO22:AQ24" si="32">K22+AA22</f>
        <v>1386672</v>
      </c>
      <c r="AP22" s="492">
        <f t="shared" si="32"/>
        <v>40846</v>
      </c>
      <c r="AQ22" s="492">
        <f t="shared" si="32"/>
        <v>0</v>
      </c>
      <c r="AR22" s="626">
        <f>N22+AK22</f>
        <v>5.8163</v>
      </c>
    </row>
    <row r="23" spans="1:44" ht="12.95" customHeight="1" x14ac:dyDescent="0.25">
      <c r="A23" s="205">
        <v>4</v>
      </c>
      <c r="B23" s="206">
        <v>4457</v>
      </c>
      <c r="C23" s="206">
        <v>600074609</v>
      </c>
      <c r="D23" s="206">
        <v>72743964</v>
      </c>
      <c r="E23" s="208" t="s">
        <v>297</v>
      </c>
      <c r="F23" s="206">
        <v>3117</v>
      </c>
      <c r="G23" s="209" t="s">
        <v>284</v>
      </c>
      <c r="H23" s="209" t="s">
        <v>263</v>
      </c>
      <c r="I23" s="586">
        <f t="shared" si="24"/>
        <v>0</v>
      </c>
      <c r="J23" s="490"/>
      <c r="K23" s="431">
        <f t="shared" si="25"/>
        <v>0</v>
      </c>
      <c r="L23" s="431">
        <f t="shared" si="26"/>
        <v>0</v>
      </c>
      <c r="M23" s="325">
        <v>0</v>
      </c>
      <c r="N23" s="752"/>
      <c r="O23" s="327">
        <f>V23*-1</f>
        <v>0</v>
      </c>
      <c r="P23" s="492">
        <f>901798</f>
        <v>901798</v>
      </c>
      <c r="Q23" s="325">
        <v>0</v>
      </c>
      <c r="R23" s="325">
        <v>0</v>
      </c>
      <c r="S23" s="325">
        <v>0</v>
      </c>
      <c r="T23" s="325">
        <v>0</v>
      </c>
      <c r="U23" s="492">
        <f>O23+P23+Q23+R23+S23+T23</f>
        <v>901798</v>
      </c>
      <c r="V23" s="325">
        <v>0</v>
      </c>
      <c r="W23" s="325">
        <v>0</v>
      </c>
      <c r="X23" s="325">
        <v>0</v>
      </c>
      <c r="Y23" s="492">
        <f t="shared" si="27"/>
        <v>0</v>
      </c>
      <c r="Z23" s="492">
        <f t="shared" si="28"/>
        <v>901798</v>
      </c>
      <c r="AA23" s="494">
        <f t="shared" si="29"/>
        <v>304808</v>
      </c>
      <c r="AB23" s="494">
        <f t="shared" si="30"/>
        <v>9018</v>
      </c>
      <c r="AC23" s="492">
        <v>0</v>
      </c>
      <c r="AD23" s="789">
        <f t="shared" si="31"/>
        <v>1215624</v>
      </c>
      <c r="AE23" s="715">
        <v>0</v>
      </c>
      <c r="AF23" s="491">
        <f>2.24</f>
        <v>2.2400000000000002</v>
      </c>
      <c r="AG23" s="326">
        <v>0</v>
      </c>
      <c r="AH23" s="326">
        <v>0</v>
      </c>
      <c r="AI23" s="326">
        <v>0</v>
      </c>
      <c r="AJ23" s="326">
        <v>0</v>
      </c>
      <c r="AK23" s="626">
        <f>SUM(AE23:AJ23)</f>
        <v>2.2400000000000002</v>
      </c>
      <c r="AL23" s="696">
        <f>I23+AD23</f>
        <v>1215624</v>
      </c>
      <c r="AM23" s="492">
        <f>J23+U23</f>
        <v>901798</v>
      </c>
      <c r="AN23" s="492">
        <f>Y23</f>
        <v>0</v>
      </c>
      <c r="AO23" s="492">
        <f t="shared" si="32"/>
        <v>304808</v>
      </c>
      <c r="AP23" s="492">
        <f t="shared" si="32"/>
        <v>9018</v>
      </c>
      <c r="AQ23" s="492">
        <f t="shared" si="32"/>
        <v>0</v>
      </c>
      <c r="AR23" s="626">
        <f>N23+AK23</f>
        <v>2.2400000000000002</v>
      </c>
    </row>
    <row r="24" spans="1:44" ht="12.95" customHeight="1" x14ac:dyDescent="0.25">
      <c r="A24" s="205">
        <v>4</v>
      </c>
      <c r="B24" s="206">
        <v>4457</v>
      </c>
      <c r="C24" s="206">
        <v>600074609</v>
      </c>
      <c r="D24" s="206">
        <v>72743964</v>
      </c>
      <c r="E24" s="208" t="s">
        <v>297</v>
      </c>
      <c r="F24" s="206">
        <v>3143</v>
      </c>
      <c r="G24" s="209" t="s">
        <v>794</v>
      </c>
      <c r="H24" s="209" t="s">
        <v>262</v>
      </c>
      <c r="I24" s="586">
        <f t="shared" si="24"/>
        <v>1091315</v>
      </c>
      <c r="J24" s="490">
        <v>809581</v>
      </c>
      <c r="K24" s="431">
        <f t="shared" si="25"/>
        <v>273638</v>
      </c>
      <c r="L24" s="431">
        <f t="shared" si="26"/>
        <v>8096</v>
      </c>
      <c r="M24" s="325">
        <v>0</v>
      </c>
      <c r="N24" s="752">
        <v>1.5467</v>
      </c>
      <c r="O24" s="327">
        <f>V24*-1</f>
        <v>0</v>
      </c>
      <c r="P24" s="492">
        <v>0</v>
      </c>
      <c r="Q24" s="325">
        <v>0</v>
      </c>
      <c r="R24" s="325">
        <v>0</v>
      </c>
      <c r="S24" s="325">
        <v>0</v>
      </c>
      <c r="T24" s="325">
        <v>0</v>
      </c>
      <c r="U24" s="492">
        <f>O24+P24+Q24+R24+S24+T24</f>
        <v>0</v>
      </c>
      <c r="V24" s="325">
        <v>0</v>
      </c>
      <c r="W24" s="325">
        <v>0</v>
      </c>
      <c r="X24" s="325">
        <v>0</v>
      </c>
      <c r="Y24" s="492">
        <f t="shared" si="27"/>
        <v>0</v>
      </c>
      <c r="Z24" s="492">
        <f t="shared" si="28"/>
        <v>0</v>
      </c>
      <c r="AA24" s="494">
        <f t="shared" si="29"/>
        <v>0</v>
      </c>
      <c r="AB24" s="494">
        <f t="shared" si="30"/>
        <v>0</v>
      </c>
      <c r="AC24" s="492">
        <v>0</v>
      </c>
      <c r="AD24" s="789">
        <f t="shared" si="31"/>
        <v>0</v>
      </c>
      <c r="AE24" s="715">
        <v>0</v>
      </c>
      <c r="AF24" s="491">
        <v>0</v>
      </c>
      <c r="AG24" s="326">
        <v>0</v>
      </c>
      <c r="AH24" s="326">
        <v>0</v>
      </c>
      <c r="AI24" s="326">
        <v>0</v>
      </c>
      <c r="AJ24" s="326">
        <v>0</v>
      </c>
      <c r="AK24" s="626">
        <f>SUM(AE24:AJ24)</f>
        <v>0</v>
      </c>
      <c r="AL24" s="696">
        <f>I24+AD24</f>
        <v>1091315</v>
      </c>
      <c r="AM24" s="492">
        <f>J24+U24</f>
        <v>809581</v>
      </c>
      <c r="AN24" s="492">
        <f>Y24</f>
        <v>0</v>
      </c>
      <c r="AO24" s="492">
        <f t="shared" si="32"/>
        <v>273638</v>
      </c>
      <c r="AP24" s="492">
        <f t="shared" si="32"/>
        <v>8096</v>
      </c>
      <c r="AQ24" s="492">
        <f t="shared" si="32"/>
        <v>0</v>
      </c>
      <c r="AR24" s="626">
        <f>N24+AK24</f>
        <v>1.5467</v>
      </c>
    </row>
    <row r="25" spans="1:44" ht="12.95" customHeight="1" x14ac:dyDescent="0.25">
      <c r="A25" s="198">
        <v>4</v>
      </c>
      <c r="B25" s="200">
        <v>4457</v>
      </c>
      <c r="C25" s="200">
        <v>600074609</v>
      </c>
      <c r="D25" s="200">
        <v>72743964</v>
      </c>
      <c r="E25" s="213" t="s">
        <v>298</v>
      </c>
      <c r="F25" s="216"/>
      <c r="G25" s="217"/>
      <c r="H25" s="217"/>
      <c r="I25" s="688">
        <f t="shared" ref="I25:AR25" si="33">SUM(I22:I24)</f>
        <v>6621593</v>
      </c>
      <c r="J25" s="353">
        <f t="shared" si="33"/>
        <v>4912161</v>
      </c>
      <c r="K25" s="353">
        <f t="shared" si="33"/>
        <v>1660310</v>
      </c>
      <c r="L25" s="353">
        <f t="shared" si="33"/>
        <v>49122</v>
      </c>
      <c r="M25" s="353">
        <f t="shared" ref="M25" si="34">SUM(M22:M24)</f>
        <v>0</v>
      </c>
      <c r="N25" s="817">
        <f t="shared" si="33"/>
        <v>7.3729999999999993</v>
      </c>
      <c r="O25" s="688">
        <f t="shared" si="33"/>
        <v>-18000</v>
      </c>
      <c r="P25" s="353">
        <f t="shared" si="33"/>
        <v>901798</v>
      </c>
      <c r="Q25" s="353">
        <f t="shared" si="33"/>
        <v>0</v>
      </c>
      <c r="R25" s="353">
        <f t="shared" si="33"/>
        <v>0</v>
      </c>
      <c r="S25" s="353">
        <f t="shared" si="33"/>
        <v>0</v>
      </c>
      <c r="T25" s="353">
        <f t="shared" si="33"/>
        <v>0</v>
      </c>
      <c r="U25" s="353">
        <f t="shared" si="33"/>
        <v>883798</v>
      </c>
      <c r="V25" s="353">
        <f t="shared" si="33"/>
        <v>18000</v>
      </c>
      <c r="W25" s="353">
        <f t="shared" si="33"/>
        <v>0</v>
      </c>
      <c r="X25" s="353">
        <f t="shared" si="33"/>
        <v>0</v>
      </c>
      <c r="Y25" s="353">
        <f t="shared" si="33"/>
        <v>18000</v>
      </c>
      <c r="Z25" s="353">
        <f t="shared" si="33"/>
        <v>901798</v>
      </c>
      <c r="AA25" s="353">
        <f t="shared" si="33"/>
        <v>304808</v>
      </c>
      <c r="AB25" s="353">
        <f t="shared" si="33"/>
        <v>8838</v>
      </c>
      <c r="AC25" s="353">
        <f t="shared" si="33"/>
        <v>0</v>
      </c>
      <c r="AD25" s="685">
        <f t="shared" si="33"/>
        <v>1215444</v>
      </c>
      <c r="AE25" s="830">
        <v>-0.01</v>
      </c>
      <c r="AF25" s="354">
        <f t="shared" si="33"/>
        <v>2.2400000000000002</v>
      </c>
      <c r="AG25" s="354">
        <f t="shared" si="33"/>
        <v>0</v>
      </c>
      <c r="AH25" s="354">
        <f t="shared" si="33"/>
        <v>0</v>
      </c>
      <c r="AI25" s="354">
        <f t="shared" si="33"/>
        <v>0</v>
      </c>
      <c r="AJ25" s="354">
        <f t="shared" si="33"/>
        <v>0</v>
      </c>
      <c r="AK25" s="215">
        <f t="shared" si="33"/>
        <v>2.2300000000000004</v>
      </c>
      <c r="AL25" s="688">
        <f t="shared" si="33"/>
        <v>7837037</v>
      </c>
      <c r="AM25" s="353">
        <f t="shared" si="33"/>
        <v>5795959</v>
      </c>
      <c r="AN25" s="353">
        <f t="shared" si="33"/>
        <v>18000</v>
      </c>
      <c r="AO25" s="353">
        <f t="shared" si="33"/>
        <v>1965118</v>
      </c>
      <c r="AP25" s="353">
        <f t="shared" si="33"/>
        <v>57960</v>
      </c>
      <c r="AQ25" s="353">
        <f t="shared" si="33"/>
        <v>0</v>
      </c>
      <c r="AR25" s="215">
        <f t="shared" si="33"/>
        <v>9.6029999999999998</v>
      </c>
    </row>
    <row r="26" spans="1:44" ht="12.95" customHeight="1" x14ac:dyDescent="0.25">
      <c r="A26" s="205">
        <v>5</v>
      </c>
      <c r="B26" s="206">
        <v>4456</v>
      </c>
      <c r="C26" s="206">
        <v>600074617</v>
      </c>
      <c r="D26" s="206">
        <v>68430132</v>
      </c>
      <c r="E26" s="208" t="s">
        <v>299</v>
      </c>
      <c r="F26" s="206">
        <v>3113</v>
      </c>
      <c r="G26" s="209" t="s">
        <v>294</v>
      </c>
      <c r="H26" s="209" t="s">
        <v>262</v>
      </c>
      <c r="I26" s="818">
        <f t="shared" ref="I26:I29" si="35">SUM(J26:M26)</f>
        <v>48755509</v>
      </c>
      <c r="J26" s="735">
        <v>36168775</v>
      </c>
      <c r="K26" s="736">
        <f t="shared" ref="K26:K29" si="36">ROUND(J26*33.8%,0)</f>
        <v>12225046</v>
      </c>
      <c r="L26" s="736">
        <f t="shared" ref="L26:L29" si="37">ROUND(J26*1%,0)</f>
        <v>361688</v>
      </c>
      <c r="M26" s="325">
        <v>0</v>
      </c>
      <c r="N26" s="819">
        <v>49.500100000000003</v>
      </c>
      <c r="O26" s="327">
        <f>V26*-1</f>
        <v>-222000</v>
      </c>
      <c r="P26" s="492">
        <v>0</v>
      </c>
      <c r="Q26" s="325">
        <v>0</v>
      </c>
      <c r="R26" s="325">
        <v>0</v>
      </c>
      <c r="S26" s="325">
        <v>0</v>
      </c>
      <c r="T26" s="325">
        <v>0</v>
      </c>
      <c r="U26" s="492">
        <f>O26+P26+Q26+R26+S26+T26</f>
        <v>-222000</v>
      </c>
      <c r="V26" s="325">
        <v>222000</v>
      </c>
      <c r="W26" s="325">
        <v>395889</v>
      </c>
      <c r="X26" s="325">
        <v>0</v>
      </c>
      <c r="Y26" s="492">
        <f t="shared" ref="Y26:Y29" si="38">V26+W26+X26</f>
        <v>617889</v>
      </c>
      <c r="Z26" s="492">
        <f t="shared" ref="Z26:Z29" si="39">U26+Y26</f>
        <v>395889</v>
      </c>
      <c r="AA26" s="494">
        <f t="shared" ref="AA26:AA29" si="40">ROUND((U26+Y26)*33.8%,0)</f>
        <v>133810</v>
      </c>
      <c r="AB26" s="494">
        <f t="shared" ref="AB26:AB29" si="41">ROUND(U26*1%,0)</f>
        <v>-2220</v>
      </c>
      <c r="AC26" s="492">
        <v>0</v>
      </c>
      <c r="AD26" s="789">
        <f t="shared" ref="AD26:AD29" si="42">Z26+AA26+AB26+AC26</f>
        <v>527479</v>
      </c>
      <c r="AE26" s="715">
        <v>-0.28000000000000003</v>
      </c>
      <c r="AF26" s="491">
        <v>0</v>
      </c>
      <c r="AG26" s="326">
        <v>0</v>
      </c>
      <c r="AH26" s="326">
        <v>0</v>
      </c>
      <c r="AI26" s="326">
        <v>0</v>
      </c>
      <c r="AJ26" s="326">
        <v>0</v>
      </c>
      <c r="AK26" s="626">
        <f>SUM(AE26:AJ26)</f>
        <v>-0.28000000000000003</v>
      </c>
      <c r="AL26" s="696">
        <f>I26+AD26</f>
        <v>49282988</v>
      </c>
      <c r="AM26" s="492">
        <f>J26+U26</f>
        <v>35946775</v>
      </c>
      <c r="AN26" s="492">
        <f>Y26</f>
        <v>617889</v>
      </c>
      <c r="AO26" s="492">
        <f t="shared" ref="AO26:AQ29" si="43">K26+AA26</f>
        <v>12358856</v>
      </c>
      <c r="AP26" s="492">
        <f t="shared" si="43"/>
        <v>359468</v>
      </c>
      <c r="AQ26" s="492">
        <f t="shared" si="43"/>
        <v>0</v>
      </c>
      <c r="AR26" s="626">
        <f>N26+AK26</f>
        <v>49.220100000000002</v>
      </c>
    </row>
    <row r="27" spans="1:44" ht="12.95" customHeight="1" x14ac:dyDescent="0.25">
      <c r="A27" s="737">
        <v>5</v>
      </c>
      <c r="B27" s="738">
        <v>4456</v>
      </c>
      <c r="C27" s="738">
        <v>600074617</v>
      </c>
      <c r="D27" s="738">
        <v>68430132</v>
      </c>
      <c r="E27" s="739" t="s">
        <v>299</v>
      </c>
      <c r="F27" s="738">
        <v>3113</v>
      </c>
      <c r="G27" s="740" t="s">
        <v>799</v>
      </c>
      <c r="H27" s="209" t="s">
        <v>262</v>
      </c>
      <c r="I27" s="818">
        <f t="shared" si="35"/>
        <v>128370</v>
      </c>
      <c r="J27" s="735">
        <v>95230</v>
      </c>
      <c r="K27" s="736">
        <f t="shared" si="36"/>
        <v>32188</v>
      </c>
      <c r="L27" s="736">
        <f t="shared" si="37"/>
        <v>952</v>
      </c>
      <c r="M27" s="325">
        <v>0</v>
      </c>
      <c r="N27" s="819">
        <v>0.2</v>
      </c>
      <c r="O27" s="327">
        <f t="shared" ref="O27" si="44">V27*-1</f>
        <v>0</v>
      </c>
      <c r="P27" s="492">
        <v>0</v>
      </c>
      <c r="Q27" s="325">
        <v>0</v>
      </c>
      <c r="R27" s="325">
        <v>0</v>
      </c>
      <c r="S27" s="325">
        <v>0</v>
      </c>
      <c r="T27" s="325">
        <v>0</v>
      </c>
      <c r="U27" s="492">
        <f>O27+P27+Q27+R27+S27+T27</f>
        <v>0</v>
      </c>
      <c r="V27" s="325">
        <v>0</v>
      </c>
      <c r="W27" s="325">
        <v>0</v>
      </c>
      <c r="X27" s="325">
        <v>0</v>
      </c>
      <c r="Y27" s="492">
        <f t="shared" si="38"/>
        <v>0</v>
      </c>
      <c r="Z27" s="492">
        <f t="shared" si="39"/>
        <v>0</v>
      </c>
      <c r="AA27" s="494">
        <f t="shared" si="40"/>
        <v>0</v>
      </c>
      <c r="AB27" s="494">
        <f t="shared" si="41"/>
        <v>0</v>
      </c>
      <c r="AC27" s="492">
        <v>0</v>
      </c>
      <c r="AD27" s="789">
        <f t="shared" si="42"/>
        <v>0</v>
      </c>
      <c r="AE27" s="715">
        <v>0</v>
      </c>
      <c r="AF27" s="491">
        <v>0</v>
      </c>
      <c r="AG27" s="326">
        <v>0</v>
      </c>
      <c r="AH27" s="326">
        <v>0</v>
      </c>
      <c r="AI27" s="326">
        <v>0</v>
      </c>
      <c r="AJ27" s="326">
        <v>0</v>
      </c>
      <c r="AK27" s="626">
        <f>SUM(AE27:AJ27)</f>
        <v>0</v>
      </c>
      <c r="AL27" s="696">
        <f>I27+AD27</f>
        <v>128370</v>
      </c>
      <c r="AM27" s="492">
        <f>J27+U27</f>
        <v>95230</v>
      </c>
      <c r="AN27" s="492">
        <f>Y27</f>
        <v>0</v>
      </c>
      <c r="AO27" s="492">
        <f t="shared" si="43"/>
        <v>32188</v>
      </c>
      <c r="AP27" s="492">
        <f t="shared" si="43"/>
        <v>952</v>
      </c>
      <c r="AQ27" s="492">
        <f t="shared" si="43"/>
        <v>0</v>
      </c>
      <c r="AR27" s="626">
        <f>N27+AK27</f>
        <v>0.2</v>
      </c>
    </row>
    <row r="28" spans="1:44" ht="12.95" customHeight="1" x14ac:dyDescent="0.25">
      <c r="A28" s="205">
        <v>5</v>
      </c>
      <c r="B28" s="206">
        <v>4456</v>
      </c>
      <c r="C28" s="206">
        <v>600074617</v>
      </c>
      <c r="D28" s="206">
        <v>68430132</v>
      </c>
      <c r="E28" s="208" t="s">
        <v>299</v>
      </c>
      <c r="F28" s="206">
        <v>3113</v>
      </c>
      <c r="G28" s="209" t="s">
        <v>284</v>
      </c>
      <c r="H28" s="209" t="s">
        <v>263</v>
      </c>
      <c r="I28" s="818">
        <f t="shared" si="35"/>
        <v>0</v>
      </c>
      <c r="J28" s="735"/>
      <c r="K28" s="736">
        <f t="shared" si="36"/>
        <v>0</v>
      </c>
      <c r="L28" s="736">
        <f t="shared" si="37"/>
        <v>0</v>
      </c>
      <c r="M28" s="325">
        <v>0</v>
      </c>
      <c r="N28" s="819"/>
      <c r="O28" s="327">
        <f>V28*-1</f>
        <v>0</v>
      </c>
      <c r="P28" s="492">
        <f>3042514+181889</f>
        <v>3224403</v>
      </c>
      <c r="Q28" s="325">
        <v>0</v>
      </c>
      <c r="R28" s="325">
        <v>0</v>
      </c>
      <c r="S28" s="325">
        <v>0</v>
      </c>
      <c r="T28" s="325">
        <v>0</v>
      </c>
      <c r="U28" s="492">
        <f>O28+P28+Q28+R28+S28+T28</f>
        <v>3224403</v>
      </c>
      <c r="V28" s="325">
        <v>0</v>
      </c>
      <c r="W28" s="325">
        <v>0</v>
      </c>
      <c r="X28" s="325">
        <v>0</v>
      </c>
      <c r="Y28" s="492">
        <f t="shared" si="38"/>
        <v>0</v>
      </c>
      <c r="Z28" s="492">
        <f t="shared" si="39"/>
        <v>3224403</v>
      </c>
      <c r="AA28" s="494">
        <f t="shared" si="40"/>
        <v>1089848</v>
      </c>
      <c r="AB28" s="494">
        <f t="shared" si="41"/>
        <v>32244</v>
      </c>
      <c r="AC28" s="492">
        <v>0</v>
      </c>
      <c r="AD28" s="789">
        <f t="shared" si="42"/>
        <v>4346495</v>
      </c>
      <c r="AE28" s="715">
        <v>0</v>
      </c>
      <c r="AF28" s="491">
        <f>7.67+0.46</f>
        <v>8.1300000000000008</v>
      </c>
      <c r="AG28" s="326">
        <v>0</v>
      </c>
      <c r="AH28" s="326">
        <v>0</v>
      </c>
      <c r="AI28" s="326">
        <v>0</v>
      </c>
      <c r="AJ28" s="326">
        <v>0</v>
      </c>
      <c r="AK28" s="626">
        <f>SUM(AE28:AJ28)</f>
        <v>8.1300000000000008</v>
      </c>
      <c r="AL28" s="696">
        <f>I28+AD28</f>
        <v>4346495</v>
      </c>
      <c r="AM28" s="492">
        <f>J28+U28</f>
        <v>3224403</v>
      </c>
      <c r="AN28" s="492">
        <f>Y28</f>
        <v>0</v>
      </c>
      <c r="AO28" s="492">
        <f t="shared" si="43"/>
        <v>1089848</v>
      </c>
      <c r="AP28" s="492">
        <f t="shared" si="43"/>
        <v>32244</v>
      </c>
      <c r="AQ28" s="492">
        <f t="shared" si="43"/>
        <v>0</v>
      </c>
      <c r="AR28" s="626">
        <f>N28+AK28</f>
        <v>8.1300000000000008</v>
      </c>
    </row>
    <row r="29" spans="1:44" ht="12.95" customHeight="1" x14ac:dyDescent="0.25">
      <c r="A29" s="205">
        <v>5</v>
      </c>
      <c r="B29" s="206">
        <v>4456</v>
      </c>
      <c r="C29" s="206">
        <v>600074617</v>
      </c>
      <c r="D29" s="206">
        <v>68430132</v>
      </c>
      <c r="E29" s="208" t="s">
        <v>299</v>
      </c>
      <c r="F29" s="206">
        <v>3143</v>
      </c>
      <c r="G29" s="209" t="s">
        <v>794</v>
      </c>
      <c r="H29" s="209" t="s">
        <v>262</v>
      </c>
      <c r="I29" s="818">
        <f t="shared" si="35"/>
        <v>4379366</v>
      </c>
      <c r="J29" s="735">
        <v>3248788</v>
      </c>
      <c r="K29" s="736">
        <f t="shared" si="36"/>
        <v>1098090</v>
      </c>
      <c r="L29" s="736">
        <f t="shared" si="37"/>
        <v>32488</v>
      </c>
      <c r="M29" s="325">
        <v>0</v>
      </c>
      <c r="N29" s="819">
        <v>5.8930999999999996</v>
      </c>
      <c r="O29" s="327">
        <f>V29*-1</f>
        <v>-18000</v>
      </c>
      <c r="P29" s="492">
        <v>0</v>
      </c>
      <c r="Q29" s="325">
        <v>0</v>
      </c>
      <c r="R29" s="325">
        <v>0</v>
      </c>
      <c r="S29" s="325">
        <v>0</v>
      </c>
      <c r="T29" s="325">
        <v>0</v>
      </c>
      <c r="U29" s="492">
        <f>O29+P29+Q29+R29+S29+T29</f>
        <v>-18000</v>
      </c>
      <c r="V29" s="325">
        <v>18000</v>
      </c>
      <c r="W29" s="325">
        <v>0</v>
      </c>
      <c r="X29" s="325">
        <v>0</v>
      </c>
      <c r="Y29" s="492">
        <f t="shared" si="38"/>
        <v>18000</v>
      </c>
      <c r="Z29" s="492">
        <f t="shared" si="39"/>
        <v>0</v>
      </c>
      <c r="AA29" s="494">
        <f t="shared" si="40"/>
        <v>0</v>
      </c>
      <c r="AB29" s="494">
        <f t="shared" si="41"/>
        <v>-180</v>
      </c>
      <c r="AC29" s="492">
        <v>0</v>
      </c>
      <c r="AD29" s="789">
        <f t="shared" si="42"/>
        <v>-180</v>
      </c>
      <c r="AE29" s="715">
        <v>0</v>
      </c>
      <c r="AF29" s="491">
        <v>0</v>
      </c>
      <c r="AG29" s="326">
        <v>0</v>
      </c>
      <c r="AH29" s="326">
        <v>0</v>
      </c>
      <c r="AI29" s="326">
        <v>0</v>
      </c>
      <c r="AJ29" s="326">
        <v>0</v>
      </c>
      <c r="AK29" s="626">
        <f>SUM(AE29:AJ29)</f>
        <v>0</v>
      </c>
      <c r="AL29" s="696">
        <f>I29+AD29</f>
        <v>4379186</v>
      </c>
      <c r="AM29" s="492">
        <f>J29+U29</f>
        <v>3230788</v>
      </c>
      <c r="AN29" s="492">
        <f>Y29</f>
        <v>18000</v>
      </c>
      <c r="AO29" s="492">
        <f t="shared" si="43"/>
        <v>1098090</v>
      </c>
      <c r="AP29" s="492">
        <f t="shared" si="43"/>
        <v>32308</v>
      </c>
      <c r="AQ29" s="492">
        <f t="shared" si="43"/>
        <v>0</v>
      </c>
      <c r="AR29" s="626">
        <f>N29+AK29</f>
        <v>5.8930999999999996</v>
      </c>
    </row>
    <row r="30" spans="1:44" ht="12.95" customHeight="1" x14ac:dyDescent="0.25">
      <c r="A30" s="198">
        <v>5</v>
      </c>
      <c r="B30" s="200">
        <v>4456</v>
      </c>
      <c r="C30" s="200">
        <v>600074617</v>
      </c>
      <c r="D30" s="200">
        <v>68430132</v>
      </c>
      <c r="E30" s="213" t="s">
        <v>300</v>
      </c>
      <c r="F30" s="216"/>
      <c r="G30" s="217"/>
      <c r="H30" s="217"/>
      <c r="I30" s="688">
        <f t="shared" ref="I30:AR30" si="45">SUM(I26:I29)</f>
        <v>53263245</v>
      </c>
      <c r="J30" s="353">
        <f t="shared" si="45"/>
        <v>39512793</v>
      </c>
      <c r="K30" s="353">
        <f t="shared" si="45"/>
        <v>13355324</v>
      </c>
      <c r="L30" s="353">
        <f t="shared" si="45"/>
        <v>395128</v>
      </c>
      <c r="M30" s="353">
        <f t="shared" ref="M30" si="46">SUM(M26:M29)</f>
        <v>0</v>
      </c>
      <c r="N30" s="817">
        <f t="shared" si="45"/>
        <v>55.593200000000003</v>
      </c>
      <c r="O30" s="688">
        <f t="shared" si="45"/>
        <v>-240000</v>
      </c>
      <c r="P30" s="353">
        <f t="shared" si="45"/>
        <v>3224403</v>
      </c>
      <c r="Q30" s="353">
        <f t="shared" si="45"/>
        <v>0</v>
      </c>
      <c r="R30" s="353">
        <f t="shared" si="45"/>
        <v>0</v>
      </c>
      <c r="S30" s="353">
        <f t="shared" si="45"/>
        <v>0</v>
      </c>
      <c r="T30" s="353">
        <f t="shared" si="45"/>
        <v>0</v>
      </c>
      <c r="U30" s="353">
        <f t="shared" si="45"/>
        <v>2984403</v>
      </c>
      <c r="V30" s="353">
        <f t="shared" si="45"/>
        <v>240000</v>
      </c>
      <c r="W30" s="353">
        <f t="shared" si="45"/>
        <v>395889</v>
      </c>
      <c r="X30" s="353">
        <f t="shared" si="45"/>
        <v>0</v>
      </c>
      <c r="Y30" s="353">
        <f t="shared" si="45"/>
        <v>635889</v>
      </c>
      <c r="Z30" s="353">
        <f t="shared" si="45"/>
        <v>3620292</v>
      </c>
      <c r="AA30" s="353">
        <f t="shared" si="45"/>
        <v>1223658</v>
      </c>
      <c r="AB30" s="353">
        <f t="shared" si="45"/>
        <v>29844</v>
      </c>
      <c r="AC30" s="353">
        <f t="shared" si="45"/>
        <v>0</v>
      </c>
      <c r="AD30" s="685">
        <f t="shared" si="45"/>
        <v>4873794</v>
      </c>
      <c r="AE30" s="830">
        <v>-0.28000000000000003</v>
      </c>
      <c r="AF30" s="354">
        <f t="shared" si="45"/>
        <v>8.1300000000000008</v>
      </c>
      <c r="AG30" s="354">
        <f t="shared" si="45"/>
        <v>0</v>
      </c>
      <c r="AH30" s="354">
        <f t="shared" si="45"/>
        <v>0</v>
      </c>
      <c r="AI30" s="354">
        <f t="shared" si="45"/>
        <v>0</v>
      </c>
      <c r="AJ30" s="354">
        <f t="shared" si="45"/>
        <v>0</v>
      </c>
      <c r="AK30" s="215">
        <f t="shared" si="45"/>
        <v>7.8500000000000005</v>
      </c>
      <c r="AL30" s="688">
        <f t="shared" si="45"/>
        <v>58137039</v>
      </c>
      <c r="AM30" s="353">
        <f t="shared" si="45"/>
        <v>42497196</v>
      </c>
      <c r="AN30" s="353">
        <f t="shared" si="45"/>
        <v>635889</v>
      </c>
      <c r="AO30" s="353">
        <f t="shared" si="45"/>
        <v>14578982</v>
      </c>
      <c r="AP30" s="353">
        <f t="shared" si="45"/>
        <v>424972</v>
      </c>
      <c r="AQ30" s="353">
        <f t="shared" si="45"/>
        <v>0</v>
      </c>
      <c r="AR30" s="215">
        <f t="shared" si="45"/>
        <v>63.443200000000004</v>
      </c>
    </row>
    <row r="31" spans="1:44" ht="12.95" customHeight="1" x14ac:dyDescent="0.25">
      <c r="A31" s="205">
        <v>6</v>
      </c>
      <c r="B31" s="206">
        <v>4478</v>
      </c>
      <c r="C31" s="206">
        <v>600075141</v>
      </c>
      <c r="D31" s="206">
        <v>70975191</v>
      </c>
      <c r="E31" s="208" t="s">
        <v>301</v>
      </c>
      <c r="F31" s="206">
        <v>3114</v>
      </c>
      <c r="G31" s="211" t="s">
        <v>511</v>
      </c>
      <c r="H31" s="209" t="s">
        <v>262</v>
      </c>
      <c r="I31" s="586">
        <f t="shared" ref="I31:I34" si="47">SUM(J31:M31)</f>
        <v>7747365</v>
      </c>
      <c r="J31" s="490">
        <v>5747303</v>
      </c>
      <c r="K31" s="431">
        <f>ROUND(J31*33.8%,0)+1</f>
        <v>1942589</v>
      </c>
      <c r="L31" s="431">
        <f t="shared" ref="L31:L34" si="48">ROUND(J31*1%,0)</f>
        <v>57473</v>
      </c>
      <c r="M31" s="325">
        <v>0</v>
      </c>
      <c r="N31" s="752">
        <v>7.2727000000000004</v>
      </c>
      <c r="O31" s="327">
        <f>V31*-1</f>
        <v>-30000</v>
      </c>
      <c r="P31" s="492">
        <v>0</v>
      </c>
      <c r="Q31" s="325">
        <v>0</v>
      </c>
      <c r="R31" s="325">
        <v>0</v>
      </c>
      <c r="S31" s="325">
        <v>0</v>
      </c>
      <c r="T31" s="325">
        <v>0</v>
      </c>
      <c r="U31" s="492">
        <f>O31+P31+Q31+R31+S31+T31</f>
        <v>-30000</v>
      </c>
      <c r="V31" s="325">
        <v>30000</v>
      </c>
      <c r="W31" s="325">
        <v>0</v>
      </c>
      <c r="X31" s="325">
        <v>0</v>
      </c>
      <c r="Y31" s="492">
        <f t="shared" ref="Y31:Y34" si="49">V31+W31+X31</f>
        <v>30000</v>
      </c>
      <c r="Z31" s="492">
        <f t="shared" ref="Z31:Z34" si="50">U31+Y31</f>
        <v>0</v>
      </c>
      <c r="AA31" s="494">
        <f t="shared" ref="AA31:AA34" si="51">ROUND((U31+Y31)*33.8%,0)</f>
        <v>0</v>
      </c>
      <c r="AB31" s="494">
        <f t="shared" ref="AB31:AB34" si="52">ROUND(U31*1%,0)</f>
        <v>-300</v>
      </c>
      <c r="AC31" s="492">
        <v>0</v>
      </c>
      <c r="AD31" s="789">
        <f t="shared" ref="AD31:AD34" si="53">Z31+AA31+AB31+AC31</f>
        <v>-300</v>
      </c>
      <c r="AE31" s="715">
        <v>0</v>
      </c>
      <c r="AF31" s="491">
        <v>0</v>
      </c>
      <c r="AG31" s="326">
        <v>0</v>
      </c>
      <c r="AH31" s="326">
        <v>0</v>
      </c>
      <c r="AI31" s="326">
        <v>0</v>
      </c>
      <c r="AJ31" s="326">
        <v>0</v>
      </c>
      <c r="AK31" s="626">
        <f>SUM(AE31:AJ31)</f>
        <v>0</v>
      </c>
      <c r="AL31" s="696">
        <f>I31+AD31</f>
        <v>7747065</v>
      </c>
      <c r="AM31" s="492">
        <f>J31+U31</f>
        <v>5717303</v>
      </c>
      <c r="AN31" s="492">
        <f>Y31</f>
        <v>30000</v>
      </c>
      <c r="AO31" s="492">
        <f t="shared" ref="AO31:AQ34" si="54">K31+AA31</f>
        <v>1942589</v>
      </c>
      <c r="AP31" s="492">
        <f t="shared" si="54"/>
        <v>57173</v>
      </c>
      <c r="AQ31" s="492">
        <f t="shared" si="54"/>
        <v>0</v>
      </c>
      <c r="AR31" s="626">
        <f>N31+AK31</f>
        <v>7.2727000000000004</v>
      </c>
    </row>
    <row r="32" spans="1:44" ht="12.95" customHeight="1" x14ac:dyDescent="0.25">
      <c r="A32" s="205">
        <v>6</v>
      </c>
      <c r="B32" s="206">
        <v>4478</v>
      </c>
      <c r="C32" s="206">
        <v>600075141</v>
      </c>
      <c r="D32" s="206">
        <v>70975191</v>
      </c>
      <c r="E32" s="208" t="s">
        <v>301</v>
      </c>
      <c r="F32" s="206">
        <v>3114</v>
      </c>
      <c r="G32" s="211" t="s">
        <v>284</v>
      </c>
      <c r="H32" s="209" t="s">
        <v>263</v>
      </c>
      <c r="I32" s="586">
        <f t="shared" si="47"/>
        <v>0</v>
      </c>
      <c r="J32" s="490">
        <v>0</v>
      </c>
      <c r="K32" s="431">
        <f t="shared" ref="K32:K34" si="55">ROUND(J32*33.8%,0)</f>
        <v>0</v>
      </c>
      <c r="L32" s="431">
        <f t="shared" si="48"/>
        <v>0</v>
      </c>
      <c r="M32" s="325">
        <v>0</v>
      </c>
      <c r="N32" s="752">
        <v>0</v>
      </c>
      <c r="O32" s="327">
        <f>V32*-1</f>
        <v>0</v>
      </c>
      <c r="P32" s="492">
        <v>0</v>
      </c>
      <c r="Q32" s="325">
        <v>0</v>
      </c>
      <c r="R32" s="325">
        <v>0</v>
      </c>
      <c r="S32" s="325">
        <v>0</v>
      </c>
      <c r="T32" s="325">
        <v>0</v>
      </c>
      <c r="U32" s="492">
        <f>O32+P32+Q32+R32+S32+T32</f>
        <v>0</v>
      </c>
      <c r="V32" s="325">
        <v>0</v>
      </c>
      <c r="W32" s="325">
        <v>0</v>
      </c>
      <c r="X32" s="325">
        <v>0</v>
      </c>
      <c r="Y32" s="492">
        <f t="shared" si="49"/>
        <v>0</v>
      </c>
      <c r="Z32" s="492">
        <f t="shared" si="50"/>
        <v>0</v>
      </c>
      <c r="AA32" s="494">
        <f t="shared" si="51"/>
        <v>0</v>
      </c>
      <c r="AB32" s="494">
        <f t="shared" si="52"/>
        <v>0</v>
      </c>
      <c r="AC32" s="492">
        <v>0</v>
      </c>
      <c r="AD32" s="789">
        <f t="shared" si="53"/>
        <v>0</v>
      </c>
      <c r="AE32" s="715">
        <v>0</v>
      </c>
      <c r="AF32" s="491">
        <v>0</v>
      </c>
      <c r="AG32" s="326">
        <v>0</v>
      </c>
      <c r="AH32" s="326">
        <v>0</v>
      </c>
      <c r="AI32" s="326">
        <v>0</v>
      </c>
      <c r="AJ32" s="326">
        <v>0</v>
      </c>
      <c r="AK32" s="626">
        <f>SUM(AE32:AJ32)</f>
        <v>0</v>
      </c>
      <c r="AL32" s="696">
        <f>I32+AD32</f>
        <v>0</v>
      </c>
      <c r="AM32" s="492">
        <f>J32+U32</f>
        <v>0</v>
      </c>
      <c r="AN32" s="492">
        <f>Y32</f>
        <v>0</v>
      </c>
      <c r="AO32" s="492">
        <f t="shared" si="54"/>
        <v>0</v>
      </c>
      <c r="AP32" s="492">
        <f t="shared" si="54"/>
        <v>0</v>
      </c>
      <c r="AQ32" s="492">
        <f t="shared" si="54"/>
        <v>0</v>
      </c>
      <c r="AR32" s="626">
        <f>N32+AK32</f>
        <v>0</v>
      </c>
    </row>
    <row r="33" spans="1:44" ht="12.95" customHeight="1" x14ac:dyDescent="0.25">
      <c r="A33" s="205">
        <v>6</v>
      </c>
      <c r="B33" s="206">
        <v>4478</v>
      </c>
      <c r="C33" s="206">
        <v>600075141</v>
      </c>
      <c r="D33" s="206">
        <v>70975191</v>
      </c>
      <c r="E33" s="208" t="s">
        <v>301</v>
      </c>
      <c r="F33" s="206">
        <v>3114</v>
      </c>
      <c r="G33" s="211" t="s">
        <v>279</v>
      </c>
      <c r="H33" s="209" t="s">
        <v>262</v>
      </c>
      <c r="I33" s="586">
        <f t="shared" si="47"/>
        <v>1274759</v>
      </c>
      <c r="J33" s="490">
        <v>945667</v>
      </c>
      <c r="K33" s="431">
        <f t="shared" si="55"/>
        <v>319635</v>
      </c>
      <c r="L33" s="431">
        <f t="shared" si="48"/>
        <v>9457</v>
      </c>
      <c r="M33" s="325">
        <v>0</v>
      </c>
      <c r="N33" s="752">
        <v>2.1110000000000002</v>
      </c>
      <c r="O33" s="327">
        <f>V33*-1</f>
        <v>0</v>
      </c>
      <c r="P33" s="492">
        <v>0</v>
      </c>
      <c r="Q33" s="325">
        <v>0</v>
      </c>
      <c r="R33" s="325">
        <v>0</v>
      </c>
      <c r="S33" s="325">
        <v>0</v>
      </c>
      <c r="T33" s="325">
        <v>0</v>
      </c>
      <c r="U33" s="492">
        <f>O33+P33+Q33+R33+S33+T33</f>
        <v>0</v>
      </c>
      <c r="V33" s="325">
        <v>0</v>
      </c>
      <c r="W33" s="325">
        <v>0</v>
      </c>
      <c r="X33" s="325">
        <v>0</v>
      </c>
      <c r="Y33" s="492">
        <f t="shared" si="49"/>
        <v>0</v>
      </c>
      <c r="Z33" s="492">
        <f t="shared" si="50"/>
        <v>0</v>
      </c>
      <c r="AA33" s="494">
        <f t="shared" si="51"/>
        <v>0</v>
      </c>
      <c r="AB33" s="494">
        <f t="shared" si="52"/>
        <v>0</v>
      </c>
      <c r="AC33" s="492">
        <v>0</v>
      </c>
      <c r="AD33" s="789">
        <f t="shared" si="53"/>
        <v>0</v>
      </c>
      <c r="AE33" s="715">
        <v>0</v>
      </c>
      <c r="AF33" s="491">
        <v>0</v>
      </c>
      <c r="AG33" s="326">
        <v>0</v>
      </c>
      <c r="AH33" s="326">
        <v>0</v>
      </c>
      <c r="AI33" s="326">
        <v>0</v>
      </c>
      <c r="AJ33" s="326">
        <v>0</v>
      </c>
      <c r="AK33" s="626">
        <f>SUM(AE33:AJ33)</f>
        <v>0</v>
      </c>
      <c r="AL33" s="696">
        <f>I33+AD33</f>
        <v>1274759</v>
      </c>
      <c r="AM33" s="492">
        <f>J33+U33</f>
        <v>945667</v>
      </c>
      <c r="AN33" s="492">
        <f>Y33</f>
        <v>0</v>
      </c>
      <c r="AO33" s="492">
        <f t="shared" si="54"/>
        <v>319635</v>
      </c>
      <c r="AP33" s="492">
        <f t="shared" si="54"/>
        <v>9457</v>
      </c>
      <c r="AQ33" s="492">
        <f t="shared" si="54"/>
        <v>0</v>
      </c>
      <c r="AR33" s="626">
        <f>N33+AK33</f>
        <v>2.1110000000000002</v>
      </c>
    </row>
    <row r="34" spans="1:44" ht="12.95" customHeight="1" x14ac:dyDescent="0.25">
      <c r="A34" s="205">
        <v>6</v>
      </c>
      <c r="B34" s="206">
        <v>4478</v>
      </c>
      <c r="C34" s="206">
        <v>600075141</v>
      </c>
      <c r="D34" s="206">
        <v>70975191</v>
      </c>
      <c r="E34" s="208" t="s">
        <v>301</v>
      </c>
      <c r="F34" s="206">
        <v>3143</v>
      </c>
      <c r="G34" s="209" t="s">
        <v>795</v>
      </c>
      <c r="H34" s="209" t="s">
        <v>262</v>
      </c>
      <c r="I34" s="586">
        <f t="shared" si="47"/>
        <v>471561</v>
      </c>
      <c r="J34" s="490">
        <v>349823</v>
      </c>
      <c r="K34" s="431">
        <f t="shared" si="55"/>
        <v>118240</v>
      </c>
      <c r="L34" s="431">
        <f t="shared" si="48"/>
        <v>3498</v>
      </c>
      <c r="M34" s="325">
        <v>0</v>
      </c>
      <c r="N34" s="752">
        <v>0.64280000000000004</v>
      </c>
      <c r="O34" s="327">
        <f>V34*-1</f>
        <v>0</v>
      </c>
      <c r="P34" s="492">
        <v>0</v>
      </c>
      <c r="Q34" s="325">
        <v>0</v>
      </c>
      <c r="R34" s="325">
        <v>0</v>
      </c>
      <c r="S34" s="325">
        <v>0</v>
      </c>
      <c r="T34" s="325">
        <v>0</v>
      </c>
      <c r="U34" s="492">
        <f>O34+P34+Q34+R34+S34+T34</f>
        <v>0</v>
      </c>
      <c r="V34" s="325">
        <v>0</v>
      </c>
      <c r="W34" s="325">
        <v>0</v>
      </c>
      <c r="X34" s="325">
        <v>0</v>
      </c>
      <c r="Y34" s="492">
        <f t="shared" si="49"/>
        <v>0</v>
      </c>
      <c r="Z34" s="492">
        <f t="shared" si="50"/>
        <v>0</v>
      </c>
      <c r="AA34" s="494">
        <f t="shared" si="51"/>
        <v>0</v>
      </c>
      <c r="AB34" s="494">
        <f t="shared" si="52"/>
        <v>0</v>
      </c>
      <c r="AC34" s="492">
        <v>0</v>
      </c>
      <c r="AD34" s="789">
        <f t="shared" si="53"/>
        <v>0</v>
      </c>
      <c r="AE34" s="715">
        <v>0</v>
      </c>
      <c r="AF34" s="491">
        <v>0</v>
      </c>
      <c r="AG34" s="326">
        <v>0</v>
      </c>
      <c r="AH34" s="326">
        <v>0</v>
      </c>
      <c r="AI34" s="326">
        <v>0</v>
      </c>
      <c r="AJ34" s="326">
        <v>0</v>
      </c>
      <c r="AK34" s="626">
        <f>SUM(AE34:AJ34)</f>
        <v>0</v>
      </c>
      <c r="AL34" s="696">
        <f>I34+AD34</f>
        <v>471561</v>
      </c>
      <c r="AM34" s="492">
        <f>J34+U34</f>
        <v>349823</v>
      </c>
      <c r="AN34" s="492">
        <f>Y34</f>
        <v>0</v>
      </c>
      <c r="AO34" s="492">
        <f t="shared" si="54"/>
        <v>118240</v>
      </c>
      <c r="AP34" s="492">
        <f t="shared" si="54"/>
        <v>3498</v>
      </c>
      <c r="AQ34" s="492">
        <f t="shared" si="54"/>
        <v>0</v>
      </c>
      <c r="AR34" s="626">
        <f>N34+AK34</f>
        <v>0.64280000000000004</v>
      </c>
    </row>
    <row r="35" spans="1:44" ht="12.95" customHeight="1" x14ac:dyDescent="0.25">
      <c r="A35" s="198">
        <v>6</v>
      </c>
      <c r="B35" s="200">
        <v>4478</v>
      </c>
      <c r="C35" s="200">
        <v>600075141</v>
      </c>
      <c r="D35" s="200">
        <v>70975191</v>
      </c>
      <c r="E35" s="213" t="s">
        <v>302</v>
      </c>
      <c r="F35" s="216"/>
      <c r="G35" s="217"/>
      <c r="H35" s="217"/>
      <c r="I35" s="688">
        <f t="shared" ref="I35:AR35" si="56">SUM(I31:I34)</f>
        <v>9493685</v>
      </c>
      <c r="J35" s="353">
        <f t="shared" si="56"/>
        <v>7042793</v>
      </c>
      <c r="K35" s="353">
        <f t="shared" si="56"/>
        <v>2380464</v>
      </c>
      <c r="L35" s="353">
        <f t="shared" si="56"/>
        <v>70428</v>
      </c>
      <c r="M35" s="353">
        <f t="shared" ref="M35" si="57">SUM(M31:M34)</f>
        <v>0</v>
      </c>
      <c r="N35" s="817">
        <f t="shared" si="56"/>
        <v>10.0265</v>
      </c>
      <c r="O35" s="688">
        <f t="shared" si="56"/>
        <v>-30000</v>
      </c>
      <c r="P35" s="353">
        <f t="shared" si="56"/>
        <v>0</v>
      </c>
      <c r="Q35" s="353">
        <f t="shared" si="56"/>
        <v>0</v>
      </c>
      <c r="R35" s="353">
        <f t="shared" si="56"/>
        <v>0</v>
      </c>
      <c r="S35" s="353">
        <f t="shared" si="56"/>
        <v>0</v>
      </c>
      <c r="T35" s="353">
        <f t="shared" si="56"/>
        <v>0</v>
      </c>
      <c r="U35" s="353">
        <f t="shared" si="56"/>
        <v>-30000</v>
      </c>
      <c r="V35" s="353">
        <f t="shared" si="56"/>
        <v>30000</v>
      </c>
      <c r="W35" s="353">
        <f t="shared" si="56"/>
        <v>0</v>
      </c>
      <c r="X35" s="353">
        <f t="shared" si="56"/>
        <v>0</v>
      </c>
      <c r="Y35" s="353">
        <f t="shared" si="56"/>
        <v>30000</v>
      </c>
      <c r="Z35" s="353">
        <f t="shared" si="56"/>
        <v>0</v>
      </c>
      <c r="AA35" s="353">
        <f t="shared" si="56"/>
        <v>0</v>
      </c>
      <c r="AB35" s="353">
        <f t="shared" si="56"/>
        <v>-300</v>
      </c>
      <c r="AC35" s="353">
        <f t="shared" si="56"/>
        <v>0</v>
      </c>
      <c r="AD35" s="685">
        <f t="shared" si="56"/>
        <v>-300</v>
      </c>
      <c r="AE35" s="830">
        <v>0</v>
      </c>
      <c r="AF35" s="354">
        <f t="shared" si="56"/>
        <v>0</v>
      </c>
      <c r="AG35" s="354">
        <f t="shared" si="56"/>
        <v>0</v>
      </c>
      <c r="AH35" s="354">
        <f t="shared" si="56"/>
        <v>0</v>
      </c>
      <c r="AI35" s="354">
        <f t="shared" si="56"/>
        <v>0</v>
      </c>
      <c r="AJ35" s="354">
        <f t="shared" si="56"/>
        <v>0</v>
      </c>
      <c r="AK35" s="215">
        <f t="shared" si="56"/>
        <v>0</v>
      </c>
      <c r="AL35" s="688">
        <f t="shared" si="56"/>
        <v>9493385</v>
      </c>
      <c r="AM35" s="353">
        <f t="shared" si="56"/>
        <v>7012793</v>
      </c>
      <c r="AN35" s="353">
        <f t="shared" si="56"/>
        <v>30000</v>
      </c>
      <c r="AO35" s="353">
        <f t="shared" si="56"/>
        <v>2380464</v>
      </c>
      <c r="AP35" s="353">
        <f t="shared" si="56"/>
        <v>70128</v>
      </c>
      <c r="AQ35" s="353">
        <f t="shared" si="56"/>
        <v>0</v>
      </c>
      <c r="AR35" s="215">
        <f t="shared" si="56"/>
        <v>10.0265</v>
      </c>
    </row>
    <row r="36" spans="1:44" ht="12.95" customHeight="1" x14ac:dyDescent="0.25">
      <c r="A36" s="205">
        <v>7</v>
      </c>
      <c r="B36" s="206">
        <v>4471</v>
      </c>
      <c r="C36" s="206">
        <v>600075061</v>
      </c>
      <c r="D36" s="206">
        <v>70975205</v>
      </c>
      <c r="E36" s="208" t="s">
        <v>303</v>
      </c>
      <c r="F36" s="206">
        <v>3231</v>
      </c>
      <c r="G36" s="209" t="s">
        <v>281</v>
      </c>
      <c r="H36" s="209" t="s">
        <v>262</v>
      </c>
      <c r="I36" s="586">
        <f>SUM(J36:M36)</f>
        <v>13035139</v>
      </c>
      <c r="J36" s="490">
        <v>9669984</v>
      </c>
      <c r="K36" s="431">
        <f>ROUND(J36*33.8%,0)</f>
        <v>3268455</v>
      </c>
      <c r="L36" s="431">
        <f>ROUND(J36*1%,0)</f>
        <v>96700</v>
      </c>
      <c r="M36" s="325">
        <v>0</v>
      </c>
      <c r="N36" s="752">
        <v>14.4892</v>
      </c>
      <c r="O36" s="327">
        <f>V36*-1</f>
        <v>0</v>
      </c>
      <c r="P36" s="492">
        <v>0</v>
      </c>
      <c r="Q36" s="325">
        <v>0</v>
      </c>
      <c r="R36" s="325">
        <v>0</v>
      </c>
      <c r="S36" s="325">
        <v>0</v>
      </c>
      <c r="T36" s="325">
        <v>0</v>
      </c>
      <c r="U36" s="492">
        <f>O36+P36+Q36+R36+S36+T36</f>
        <v>0</v>
      </c>
      <c r="V36" s="325">
        <v>0</v>
      </c>
      <c r="W36" s="325">
        <v>0</v>
      </c>
      <c r="X36" s="325">
        <v>0</v>
      </c>
      <c r="Y36" s="492">
        <f>V36+W36+X36</f>
        <v>0</v>
      </c>
      <c r="Z36" s="492">
        <f>U36+Y36</f>
        <v>0</v>
      </c>
      <c r="AA36" s="494">
        <f>ROUND((U36+Y36)*33.8%,0)</f>
        <v>0</v>
      </c>
      <c r="AB36" s="494">
        <f>ROUND(U36*1%,0)</f>
        <v>0</v>
      </c>
      <c r="AC36" s="492">
        <v>0</v>
      </c>
      <c r="AD36" s="789">
        <f>Z36+AA36+AB36+AC36</f>
        <v>0</v>
      </c>
      <c r="AE36" s="715">
        <v>0</v>
      </c>
      <c r="AF36" s="491">
        <v>0</v>
      </c>
      <c r="AG36" s="326">
        <v>0</v>
      </c>
      <c r="AH36" s="326">
        <v>0</v>
      </c>
      <c r="AI36" s="326">
        <v>0</v>
      </c>
      <c r="AJ36" s="326">
        <v>0</v>
      </c>
      <c r="AK36" s="626">
        <f>SUM(AE36:AJ36)</f>
        <v>0</v>
      </c>
      <c r="AL36" s="696">
        <f>I36+AD36</f>
        <v>13035139</v>
      </c>
      <c r="AM36" s="492">
        <f>J36+U36</f>
        <v>9669984</v>
      </c>
      <c r="AN36" s="492">
        <f>Y36</f>
        <v>0</v>
      </c>
      <c r="AO36" s="492">
        <f>K36+AA36</f>
        <v>3268455</v>
      </c>
      <c r="AP36" s="492">
        <f>L36+AB36</f>
        <v>96700</v>
      </c>
      <c r="AQ36" s="492">
        <f>M36+AC36</f>
        <v>0</v>
      </c>
      <c r="AR36" s="626">
        <f>N36+AK36</f>
        <v>14.4892</v>
      </c>
    </row>
    <row r="37" spans="1:44" ht="12.95" customHeight="1" x14ac:dyDescent="0.25">
      <c r="A37" s="198">
        <v>7</v>
      </c>
      <c r="B37" s="200">
        <v>4471</v>
      </c>
      <c r="C37" s="200">
        <v>600075061</v>
      </c>
      <c r="D37" s="200">
        <v>70975205</v>
      </c>
      <c r="E37" s="213" t="s">
        <v>304</v>
      </c>
      <c r="F37" s="216"/>
      <c r="G37" s="217"/>
      <c r="H37" s="217"/>
      <c r="I37" s="688">
        <f t="shared" ref="I37:AR37" si="58">SUM(I36)</f>
        <v>13035139</v>
      </c>
      <c r="J37" s="353">
        <f t="shared" si="58"/>
        <v>9669984</v>
      </c>
      <c r="K37" s="353">
        <f t="shared" si="58"/>
        <v>3268455</v>
      </c>
      <c r="L37" s="353">
        <f t="shared" si="58"/>
        <v>96700</v>
      </c>
      <c r="M37" s="353">
        <f t="shared" ref="M37" si="59">SUM(M36)</f>
        <v>0</v>
      </c>
      <c r="N37" s="817">
        <f t="shared" si="58"/>
        <v>14.4892</v>
      </c>
      <c r="O37" s="688">
        <f t="shared" si="58"/>
        <v>0</v>
      </c>
      <c r="P37" s="353">
        <f t="shared" si="58"/>
        <v>0</v>
      </c>
      <c r="Q37" s="353">
        <f t="shared" si="58"/>
        <v>0</v>
      </c>
      <c r="R37" s="353">
        <f t="shared" si="58"/>
        <v>0</v>
      </c>
      <c r="S37" s="353">
        <f t="shared" si="58"/>
        <v>0</v>
      </c>
      <c r="T37" s="353">
        <f t="shared" si="58"/>
        <v>0</v>
      </c>
      <c r="U37" s="353">
        <f t="shared" si="58"/>
        <v>0</v>
      </c>
      <c r="V37" s="353">
        <f t="shared" si="58"/>
        <v>0</v>
      </c>
      <c r="W37" s="353">
        <f t="shared" si="58"/>
        <v>0</v>
      </c>
      <c r="X37" s="353">
        <f t="shared" si="58"/>
        <v>0</v>
      </c>
      <c r="Y37" s="353">
        <f t="shared" si="58"/>
        <v>0</v>
      </c>
      <c r="Z37" s="353">
        <f t="shared" si="58"/>
        <v>0</v>
      </c>
      <c r="AA37" s="353">
        <f t="shared" si="58"/>
        <v>0</v>
      </c>
      <c r="AB37" s="353">
        <f t="shared" si="58"/>
        <v>0</v>
      </c>
      <c r="AC37" s="353">
        <f t="shared" si="58"/>
        <v>0</v>
      </c>
      <c r="AD37" s="685">
        <f t="shared" si="58"/>
        <v>0</v>
      </c>
      <c r="AE37" s="830">
        <v>0</v>
      </c>
      <c r="AF37" s="354">
        <f t="shared" si="58"/>
        <v>0</v>
      </c>
      <c r="AG37" s="354">
        <f t="shared" si="58"/>
        <v>0</v>
      </c>
      <c r="AH37" s="354">
        <f t="shared" si="58"/>
        <v>0</v>
      </c>
      <c r="AI37" s="354">
        <f t="shared" si="58"/>
        <v>0</v>
      </c>
      <c r="AJ37" s="354">
        <f t="shared" si="58"/>
        <v>0</v>
      </c>
      <c r="AK37" s="215">
        <f t="shared" si="58"/>
        <v>0</v>
      </c>
      <c r="AL37" s="688">
        <f t="shared" si="58"/>
        <v>13035139</v>
      </c>
      <c r="AM37" s="353">
        <f t="shared" si="58"/>
        <v>9669984</v>
      </c>
      <c r="AN37" s="353">
        <f t="shared" si="58"/>
        <v>0</v>
      </c>
      <c r="AO37" s="353">
        <f t="shared" si="58"/>
        <v>3268455</v>
      </c>
      <c r="AP37" s="353">
        <f t="shared" si="58"/>
        <v>96700</v>
      </c>
      <c r="AQ37" s="353">
        <f t="shared" si="58"/>
        <v>0</v>
      </c>
      <c r="AR37" s="215">
        <f t="shared" si="58"/>
        <v>14.4892</v>
      </c>
    </row>
    <row r="38" spans="1:44" ht="12.95" customHeight="1" x14ac:dyDescent="0.25">
      <c r="A38" s="205">
        <v>8</v>
      </c>
      <c r="B38" s="206">
        <v>4474</v>
      </c>
      <c r="C38" s="206">
        <v>600075192</v>
      </c>
      <c r="D38" s="206">
        <v>49864661</v>
      </c>
      <c r="E38" s="208" t="s">
        <v>305</v>
      </c>
      <c r="F38" s="206">
        <v>3233</v>
      </c>
      <c r="G38" s="218" t="s">
        <v>283</v>
      </c>
      <c r="H38" s="209" t="s">
        <v>263</v>
      </c>
      <c r="I38" s="586">
        <f>SUM(J38:M38)</f>
        <v>2067825</v>
      </c>
      <c r="J38" s="490">
        <v>1533995</v>
      </c>
      <c r="K38" s="431">
        <f>ROUND(J38*33.8%,0)</f>
        <v>518490</v>
      </c>
      <c r="L38" s="431">
        <f>ROUND(J38*1%,0)</f>
        <v>15340</v>
      </c>
      <c r="M38" s="325">
        <v>0</v>
      </c>
      <c r="N38" s="752">
        <v>2.6</v>
      </c>
      <c r="O38" s="327">
        <f>V38*-1</f>
        <v>0</v>
      </c>
      <c r="P38" s="492">
        <v>0</v>
      </c>
      <c r="Q38" s="325">
        <v>0</v>
      </c>
      <c r="R38" s="325">
        <v>0</v>
      </c>
      <c r="S38" s="325">
        <v>0</v>
      </c>
      <c r="T38" s="325">
        <v>0</v>
      </c>
      <c r="U38" s="492">
        <f>O38+P38+Q38+R38+S38+T38</f>
        <v>0</v>
      </c>
      <c r="V38" s="325">
        <v>0</v>
      </c>
      <c r="W38" s="325">
        <v>0</v>
      </c>
      <c r="X38" s="325">
        <v>0</v>
      </c>
      <c r="Y38" s="492">
        <f>V38+W38+X38</f>
        <v>0</v>
      </c>
      <c r="Z38" s="492">
        <f>U38+Y38</f>
        <v>0</v>
      </c>
      <c r="AA38" s="494">
        <f>ROUND((U38+Y38)*33.8%,0)</f>
        <v>0</v>
      </c>
      <c r="AB38" s="494">
        <f>ROUND(U38*1%,0)</f>
        <v>0</v>
      </c>
      <c r="AC38" s="492">
        <v>0</v>
      </c>
      <c r="AD38" s="789">
        <f>Z38+AA38+AB38+AC38</f>
        <v>0</v>
      </c>
      <c r="AE38" s="715">
        <v>0</v>
      </c>
      <c r="AF38" s="491">
        <v>0</v>
      </c>
      <c r="AG38" s="326">
        <v>0</v>
      </c>
      <c r="AH38" s="326">
        <v>0</v>
      </c>
      <c r="AI38" s="326">
        <v>0</v>
      </c>
      <c r="AJ38" s="326">
        <v>0</v>
      </c>
      <c r="AK38" s="626">
        <f>SUM(AE38:AJ38)</f>
        <v>0</v>
      </c>
      <c r="AL38" s="696">
        <f>I38+AD38</f>
        <v>2067825</v>
      </c>
      <c r="AM38" s="492">
        <f>J38+U38</f>
        <v>1533995</v>
      </c>
      <c r="AN38" s="492">
        <f>Y38</f>
        <v>0</v>
      </c>
      <c r="AO38" s="492">
        <f>K38+AA38</f>
        <v>518490</v>
      </c>
      <c r="AP38" s="492">
        <f>L38+AB38</f>
        <v>15340</v>
      </c>
      <c r="AQ38" s="492">
        <f>M38+AC38</f>
        <v>0</v>
      </c>
      <c r="AR38" s="626">
        <f>N38+AK38</f>
        <v>2.6</v>
      </c>
    </row>
    <row r="39" spans="1:44" ht="12.95" customHeight="1" x14ac:dyDescent="0.25">
      <c r="A39" s="198">
        <v>8</v>
      </c>
      <c r="B39" s="200">
        <v>4474</v>
      </c>
      <c r="C39" s="200">
        <v>600075192</v>
      </c>
      <c r="D39" s="200">
        <v>49864661</v>
      </c>
      <c r="E39" s="213" t="s">
        <v>306</v>
      </c>
      <c r="F39" s="216"/>
      <c r="G39" s="217"/>
      <c r="H39" s="217"/>
      <c r="I39" s="688">
        <f t="shared" ref="I39:AR39" si="60">SUM(I38)</f>
        <v>2067825</v>
      </c>
      <c r="J39" s="353">
        <f t="shared" si="60"/>
        <v>1533995</v>
      </c>
      <c r="K39" s="353">
        <f t="shared" si="60"/>
        <v>518490</v>
      </c>
      <c r="L39" s="353">
        <f t="shared" si="60"/>
        <v>15340</v>
      </c>
      <c r="M39" s="353">
        <f t="shared" ref="M39" si="61">SUM(M38)</f>
        <v>0</v>
      </c>
      <c r="N39" s="817">
        <f t="shared" si="60"/>
        <v>2.6</v>
      </c>
      <c r="O39" s="688">
        <f t="shared" si="60"/>
        <v>0</v>
      </c>
      <c r="P39" s="353">
        <f t="shared" si="60"/>
        <v>0</v>
      </c>
      <c r="Q39" s="353">
        <f t="shared" si="60"/>
        <v>0</v>
      </c>
      <c r="R39" s="353">
        <f t="shared" si="60"/>
        <v>0</v>
      </c>
      <c r="S39" s="353">
        <f t="shared" si="60"/>
        <v>0</v>
      </c>
      <c r="T39" s="353">
        <f t="shared" si="60"/>
        <v>0</v>
      </c>
      <c r="U39" s="353">
        <f t="shared" si="60"/>
        <v>0</v>
      </c>
      <c r="V39" s="353">
        <f t="shared" si="60"/>
        <v>0</v>
      </c>
      <c r="W39" s="353">
        <f t="shared" si="60"/>
        <v>0</v>
      </c>
      <c r="X39" s="353">
        <f t="shared" si="60"/>
        <v>0</v>
      </c>
      <c r="Y39" s="353">
        <f t="shared" si="60"/>
        <v>0</v>
      </c>
      <c r="Z39" s="353">
        <f t="shared" si="60"/>
        <v>0</v>
      </c>
      <c r="AA39" s="353">
        <f t="shared" si="60"/>
        <v>0</v>
      </c>
      <c r="AB39" s="353">
        <f t="shared" si="60"/>
        <v>0</v>
      </c>
      <c r="AC39" s="353">
        <f t="shared" si="60"/>
        <v>0</v>
      </c>
      <c r="AD39" s="685">
        <f t="shared" si="60"/>
        <v>0</v>
      </c>
      <c r="AE39" s="830">
        <v>0</v>
      </c>
      <c r="AF39" s="354">
        <f t="shared" si="60"/>
        <v>0</v>
      </c>
      <c r="AG39" s="354">
        <f t="shared" si="60"/>
        <v>0</v>
      </c>
      <c r="AH39" s="354">
        <f t="shared" si="60"/>
        <v>0</v>
      </c>
      <c r="AI39" s="354">
        <f t="shared" si="60"/>
        <v>0</v>
      </c>
      <c r="AJ39" s="354">
        <f t="shared" si="60"/>
        <v>0</v>
      </c>
      <c r="AK39" s="215">
        <f t="shared" si="60"/>
        <v>0</v>
      </c>
      <c r="AL39" s="688">
        <f t="shared" si="60"/>
        <v>2067825</v>
      </c>
      <c r="AM39" s="353">
        <f t="shared" si="60"/>
        <v>1533995</v>
      </c>
      <c r="AN39" s="353">
        <f t="shared" si="60"/>
        <v>0</v>
      </c>
      <c r="AO39" s="353">
        <f t="shared" si="60"/>
        <v>518490</v>
      </c>
      <c r="AP39" s="353">
        <f t="shared" si="60"/>
        <v>15340</v>
      </c>
      <c r="AQ39" s="353">
        <f t="shared" si="60"/>
        <v>0</v>
      </c>
      <c r="AR39" s="215">
        <f t="shared" si="60"/>
        <v>2.6</v>
      </c>
    </row>
    <row r="40" spans="1:44" ht="12.95" customHeight="1" x14ac:dyDescent="0.25">
      <c r="A40" s="205">
        <v>9</v>
      </c>
      <c r="B40" s="206">
        <v>4402</v>
      </c>
      <c r="C40" s="207">
        <v>600074021</v>
      </c>
      <c r="D40" s="206">
        <v>70695342</v>
      </c>
      <c r="E40" s="208" t="s">
        <v>307</v>
      </c>
      <c r="F40" s="206">
        <v>3111</v>
      </c>
      <c r="G40" s="209" t="s">
        <v>290</v>
      </c>
      <c r="H40" s="209" t="s">
        <v>262</v>
      </c>
      <c r="I40" s="586">
        <f t="shared" ref="I40:I41" si="62">SUM(J40:M40)</f>
        <v>10969275</v>
      </c>
      <c r="J40" s="490">
        <v>8137445</v>
      </c>
      <c r="K40" s="431">
        <f t="shared" ref="K40:K41" si="63">ROUND(J40*33.8%,0)</f>
        <v>2750456</v>
      </c>
      <c r="L40" s="431">
        <f t="shared" ref="L40:L41" si="64">ROUND(J40*1%,0)</f>
        <v>81374</v>
      </c>
      <c r="M40" s="325">
        <v>0</v>
      </c>
      <c r="N40" s="752">
        <v>13.951599999999999</v>
      </c>
      <c r="O40" s="327">
        <f>V40*-1</f>
        <v>0</v>
      </c>
      <c r="P40" s="492">
        <v>0</v>
      </c>
      <c r="Q40" s="325">
        <v>0</v>
      </c>
      <c r="R40" s="325">
        <v>0</v>
      </c>
      <c r="S40" s="325">
        <v>0</v>
      </c>
      <c r="T40" s="325">
        <v>0</v>
      </c>
      <c r="U40" s="492">
        <f>O40+P40+Q40+R40+S40+T40</f>
        <v>0</v>
      </c>
      <c r="V40" s="325">
        <v>0</v>
      </c>
      <c r="W40" s="325">
        <v>0</v>
      </c>
      <c r="X40" s="325">
        <v>0</v>
      </c>
      <c r="Y40" s="492">
        <f t="shared" ref="Y40:Y41" si="65">V40+W40+X40</f>
        <v>0</v>
      </c>
      <c r="Z40" s="492">
        <f t="shared" ref="Z40:Z41" si="66">U40+Y40</f>
        <v>0</v>
      </c>
      <c r="AA40" s="494">
        <f t="shared" ref="AA40:AA41" si="67">ROUND((U40+Y40)*33.8%,0)</f>
        <v>0</v>
      </c>
      <c r="AB40" s="494">
        <f t="shared" ref="AB40:AB41" si="68">ROUND(U40*1%,0)</f>
        <v>0</v>
      </c>
      <c r="AC40" s="492">
        <v>0</v>
      </c>
      <c r="AD40" s="789">
        <f t="shared" ref="AD40:AD41" si="69">Z40+AA40+AB40+AC40</f>
        <v>0</v>
      </c>
      <c r="AE40" s="715">
        <v>0</v>
      </c>
      <c r="AF40" s="491">
        <v>0</v>
      </c>
      <c r="AG40" s="326">
        <v>0</v>
      </c>
      <c r="AH40" s="326">
        <v>0</v>
      </c>
      <c r="AI40" s="326">
        <v>0</v>
      </c>
      <c r="AJ40" s="326">
        <v>0</v>
      </c>
      <c r="AK40" s="626">
        <f>SUM(AE40:AJ40)</f>
        <v>0</v>
      </c>
      <c r="AL40" s="696">
        <f>I40+AD40</f>
        <v>10969275</v>
      </c>
      <c r="AM40" s="492">
        <f>J40+U40</f>
        <v>8137445</v>
      </c>
      <c r="AN40" s="492">
        <f>Y40</f>
        <v>0</v>
      </c>
      <c r="AO40" s="492">
        <f t="shared" ref="AO40:AQ41" si="70">K40+AA40</f>
        <v>2750456</v>
      </c>
      <c r="AP40" s="492">
        <f t="shared" si="70"/>
        <v>81374</v>
      </c>
      <c r="AQ40" s="492">
        <f t="shared" si="70"/>
        <v>0</v>
      </c>
      <c r="AR40" s="626">
        <f>N40+AK40</f>
        <v>13.951599999999999</v>
      </c>
    </row>
    <row r="41" spans="1:44" ht="12.95" customHeight="1" x14ac:dyDescent="0.25">
      <c r="A41" s="205">
        <v>9</v>
      </c>
      <c r="B41" s="206">
        <v>4402</v>
      </c>
      <c r="C41" s="207">
        <v>600074021</v>
      </c>
      <c r="D41" s="206">
        <v>70695342</v>
      </c>
      <c r="E41" s="208" t="s">
        <v>307</v>
      </c>
      <c r="F41" s="206">
        <v>3111</v>
      </c>
      <c r="G41" s="209" t="s">
        <v>284</v>
      </c>
      <c r="H41" s="209" t="s">
        <v>263</v>
      </c>
      <c r="I41" s="586">
        <f t="shared" si="62"/>
        <v>0</v>
      </c>
      <c r="J41" s="490"/>
      <c r="K41" s="431">
        <f t="shared" si="63"/>
        <v>0</v>
      </c>
      <c r="L41" s="431">
        <f t="shared" si="64"/>
        <v>0</v>
      </c>
      <c r="M41" s="325">
        <v>0</v>
      </c>
      <c r="N41" s="752"/>
      <c r="O41" s="327">
        <f>V41*-1</f>
        <v>0</v>
      </c>
      <c r="P41" s="492">
        <v>0</v>
      </c>
      <c r="Q41" s="325">
        <v>0</v>
      </c>
      <c r="R41" s="325">
        <v>0</v>
      </c>
      <c r="S41" s="325">
        <v>0</v>
      </c>
      <c r="T41" s="325">
        <v>0</v>
      </c>
      <c r="U41" s="492">
        <f>O41+P41+Q41+R41+S41+T41</f>
        <v>0</v>
      </c>
      <c r="V41" s="325">
        <v>0</v>
      </c>
      <c r="W41" s="325">
        <v>0</v>
      </c>
      <c r="X41" s="325">
        <v>0</v>
      </c>
      <c r="Y41" s="492">
        <f t="shared" si="65"/>
        <v>0</v>
      </c>
      <c r="Z41" s="492">
        <f t="shared" si="66"/>
        <v>0</v>
      </c>
      <c r="AA41" s="494">
        <f t="shared" si="67"/>
        <v>0</v>
      </c>
      <c r="AB41" s="494">
        <f t="shared" si="68"/>
        <v>0</v>
      </c>
      <c r="AC41" s="492">
        <v>0</v>
      </c>
      <c r="AD41" s="789">
        <f t="shared" si="69"/>
        <v>0</v>
      </c>
      <c r="AE41" s="715">
        <v>0</v>
      </c>
      <c r="AF41" s="491">
        <v>0</v>
      </c>
      <c r="AG41" s="326">
        <v>0</v>
      </c>
      <c r="AH41" s="326">
        <v>0</v>
      </c>
      <c r="AI41" s="326">
        <v>0</v>
      </c>
      <c r="AJ41" s="326">
        <v>0</v>
      </c>
      <c r="AK41" s="626">
        <f>SUM(AE41:AJ41)</f>
        <v>0</v>
      </c>
      <c r="AL41" s="696">
        <f>I41+AD41</f>
        <v>0</v>
      </c>
      <c r="AM41" s="492">
        <f>J41+U41</f>
        <v>0</v>
      </c>
      <c r="AN41" s="492">
        <f>Y41</f>
        <v>0</v>
      </c>
      <c r="AO41" s="492">
        <f t="shared" si="70"/>
        <v>0</v>
      </c>
      <c r="AP41" s="492">
        <f t="shared" si="70"/>
        <v>0</v>
      </c>
      <c r="AQ41" s="492">
        <f t="shared" si="70"/>
        <v>0</v>
      </c>
      <c r="AR41" s="626">
        <f>N41+AK41</f>
        <v>0</v>
      </c>
    </row>
    <row r="42" spans="1:44" ht="12.95" customHeight="1" x14ac:dyDescent="0.25">
      <c r="A42" s="198">
        <v>9</v>
      </c>
      <c r="B42" s="200">
        <v>4402</v>
      </c>
      <c r="C42" s="212">
        <v>600074021</v>
      </c>
      <c r="D42" s="200">
        <v>70695342</v>
      </c>
      <c r="E42" s="213" t="s">
        <v>308</v>
      </c>
      <c r="F42" s="216"/>
      <c r="G42" s="217"/>
      <c r="H42" s="217"/>
      <c r="I42" s="688">
        <f t="shared" ref="I42:AR42" si="71">SUM(I40:I41)</f>
        <v>10969275</v>
      </c>
      <c r="J42" s="353">
        <f t="shared" si="71"/>
        <v>8137445</v>
      </c>
      <c r="K42" s="353">
        <f t="shared" si="71"/>
        <v>2750456</v>
      </c>
      <c r="L42" s="353">
        <f t="shared" si="71"/>
        <v>81374</v>
      </c>
      <c r="M42" s="353">
        <f t="shared" ref="M42" si="72">SUM(M40:M41)</f>
        <v>0</v>
      </c>
      <c r="N42" s="817">
        <f t="shared" si="71"/>
        <v>13.951599999999999</v>
      </c>
      <c r="O42" s="688">
        <f t="shared" si="71"/>
        <v>0</v>
      </c>
      <c r="P42" s="353">
        <f t="shared" si="71"/>
        <v>0</v>
      </c>
      <c r="Q42" s="353">
        <f t="shared" si="71"/>
        <v>0</v>
      </c>
      <c r="R42" s="353">
        <f t="shared" si="71"/>
        <v>0</v>
      </c>
      <c r="S42" s="353">
        <f t="shared" si="71"/>
        <v>0</v>
      </c>
      <c r="T42" s="353">
        <f t="shared" si="71"/>
        <v>0</v>
      </c>
      <c r="U42" s="353">
        <f t="shared" si="71"/>
        <v>0</v>
      </c>
      <c r="V42" s="353">
        <f t="shared" si="71"/>
        <v>0</v>
      </c>
      <c r="W42" s="353">
        <f t="shared" si="71"/>
        <v>0</v>
      </c>
      <c r="X42" s="353">
        <f t="shared" si="71"/>
        <v>0</v>
      </c>
      <c r="Y42" s="353">
        <f t="shared" si="71"/>
        <v>0</v>
      </c>
      <c r="Z42" s="353">
        <f t="shared" si="71"/>
        <v>0</v>
      </c>
      <c r="AA42" s="353">
        <f t="shared" si="71"/>
        <v>0</v>
      </c>
      <c r="AB42" s="353">
        <f t="shared" si="71"/>
        <v>0</v>
      </c>
      <c r="AC42" s="353">
        <f t="shared" si="71"/>
        <v>0</v>
      </c>
      <c r="AD42" s="685">
        <f t="shared" si="71"/>
        <v>0</v>
      </c>
      <c r="AE42" s="830">
        <v>0</v>
      </c>
      <c r="AF42" s="354">
        <f t="shared" si="71"/>
        <v>0</v>
      </c>
      <c r="AG42" s="354">
        <f t="shared" si="71"/>
        <v>0</v>
      </c>
      <c r="AH42" s="354">
        <f t="shared" si="71"/>
        <v>0</v>
      </c>
      <c r="AI42" s="354">
        <f t="shared" si="71"/>
        <v>0</v>
      </c>
      <c r="AJ42" s="354">
        <f t="shared" si="71"/>
        <v>0</v>
      </c>
      <c r="AK42" s="215">
        <f t="shared" si="71"/>
        <v>0</v>
      </c>
      <c r="AL42" s="688">
        <f t="shared" si="71"/>
        <v>10969275</v>
      </c>
      <c r="AM42" s="353">
        <f t="shared" si="71"/>
        <v>8137445</v>
      </c>
      <c r="AN42" s="353">
        <f t="shared" si="71"/>
        <v>0</v>
      </c>
      <c r="AO42" s="353">
        <f t="shared" si="71"/>
        <v>2750456</v>
      </c>
      <c r="AP42" s="353">
        <f t="shared" si="71"/>
        <v>81374</v>
      </c>
      <c r="AQ42" s="353">
        <f t="shared" si="71"/>
        <v>0</v>
      </c>
      <c r="AR42" s="215">
        <f t="shared" si="71"/>
        <v>13.951599999999999</v>
      </c>
    </row>
    <row r="43" spans="1:44" ht="12.95" customHeight="1" x14ac:dyDescent="0.25">
      <c r="A43" s="205">
        <v>10</v>
      </c>
      <c r="B43" s="206">
        <v>4481</v>
      </c>
      <c r="C43" s="206">
        <v>600074722</v>
      </c>
      <c r="D43" s="206">
        <v>70942692</v>
      </c>
      <c r="E43" s="208" t="s">
        <v>309</v>
      </c>
      <c r="F43" s="206">
        <v>3113</v>
      </c>
      <c r="G43" s="209" t="s">
        <v>310</v>
      </c>
      <c r="H43" s="209" t="s">
        <v>262</v>
      </c>
      <c r="I43" s="586">
        <f t="shared" ref="I43:I46" si="73">SUM(J43:M43)</f>
        <v>25207550</v>
      </c>
      <c r="J43" s="490">
        <v>18699962</v>
      </c>
      <c r="K43" s="431">
        <f>ROUND(J43*33.8%,0)+1</f>
        <v>6320588</v>
      </c>
      <c r="L43" s="431">
        <f t="shared" ref="L43:L46" si="74">ROUND(J43*1%,0)</f>
        <v>187000</v>
      </c>
      <c r="M43" s="325">
        <v>0</v>
      </c>
      <c r="N43" s="752">
        <v>25.2179</v>
      </c>
      <c r="O43" s="327">
        <f>V43*-1</f>
        <v>0</v>
      </c>
      <c r="P43" s="492">
        <v>0</v>
      </c>
      <c r="Q43" s="325">
        <v>0</v>
      </c>
      <c r="R43" s="325">
        <v>0</v>
      </c>
      <c r="S43" s="325">
        <v>0</v>
      </c>
      <c r="T43" s="325">
        <v>0</v>
      </c>
      <c r="U43" s="492">
        <f>O43+P43+Q43+R43+S43+T43</f>
        <v>0</v>
      </c>
      <c r="V43" s="325">
        <v>0</v>
      </c>
      <c r="W43" s="325">
        <v>0</v>
      </c>
      <c r="X43" s="325">
        <v>0</v>
      </c>
      <c r="Y43" s="492">
        <f t="shared" ref="Y43:Y46" si="75">V43+W43+X43</f>
        <v>0</v>
      </c>
      <c r="Z43" s="492">
        <f t="shared" ref="Z43:Z46" si="76">U43+Y43</f>
        <v>0</v>
      </c>
      <c r="AA43" s="494">
        <f t="shared" ref="AA43:AA46" si="77">ROUND((U43+Y43)*33.8%,0)</f>
        <v>0</v>
      </c>
      <c r="AB43" s="494">
        <f t="shared" ref="AB43:AB46" si="78">ROUND(U43*1%,0)</f>
        <v>0</v>
      </c>
      <c r="AC43" s="492">
        <v>0</v>
      </c>
      <c r="AD43" s="789">
        <f t="shared" ref="AD43:AD46" si="79">Z43+AA43+AB43+AC43</f>
        <v>0</v>
      </c>
      <c r="AE43" s="715">
        <v>0</v>
      </c>
      <c r="AF43" s="491">
        <v>0</v>
      </c>
      <c r="AG43" s="326">
        <v>0</v>
      </c>
      <c r="AH43" s="326">
        <v>0</v>
      </c>
      <c r="AI43" s="326">
        <v>0</v>
      </c>
      <c r="AJ43" s="326">
        <v>0</v>
      </c>
      <c r="AK43" s="626">
        <f>SUM(AE43:AJ43)</f>
        <v>0</v>
      </c>
      <c r="AL43" s="696">
        <f>I43+AD43</f>
        <v>25207550</v>
      </c>
      <c r="AM43" s="492">
        <f>J43+U43</f>
        <v>18699962</v>
      </c>
      <c r="AN43" s="492">
        <f>Y43</f>
        <v>0</v>
      </c>
      <c r="AO43" s="492">
        <f t="shared" ref="AO43:AQ46" si="80">K43+AA43</f>
        <v>6320588</v>
      </c>
      <c r="AP43" s="492">
        <f t="shared" si="80"/>
        <v>187000</v>
      </c>
      <c r="AQ43" s="492">
        <f t="shared" si="80"/>
        <v>0</v>
      </c>
      <c r="AR43" s="626">
        <f>N43+AK43</f>
        <v>25.2179</v>
      </c>
    </row>
    <row r="44" spans="1:44" ht="12.95" customHeight="1" x14ac:dyDescent="0.25">
      <c r="A44" s="737">
        <v>10</v>
      </c>
      <c r="B44" s="738">
        <v>4481</v>
      </c>
      <c r="C44" s="738">
        <v>600074722</v>
      </c>
      <c r="D44" s="738">
        <v>70942692</v>
      </c>
      <c r="E44" s="739" t="s">
        <v>309</v>
      </c>
      <c r="F44" s="738">
        <v>3113</v>
      </c>
      <c r="G44" s="740" t="s">
        <v>825</v>
      </c>
      <c r="H44" s="209" t="s">
        <v>262</v>
      </c>
      <c r="I44" s="586">
        <f t="shared" si="73"/>
        <v>287732</v>
      </c>
      <c r="J44" s="490">
        <v>213451</v>
      </c>
      <c r="K44" s="431">
        <f t="shared" ref="K44:K46" si="81">ROUND(J44*33.8%,0)</f>
        <v>72146</v>
      </c>
      <c r="L44" s="431">
        <f t="shared" si="74"/>
        <v>2135</v>
      </c>
      <c r="M44" s="325">
        <v>0</v>
      </c>
      <c r="N44" s="752">
        <v>0.4</v>
      </c>
      <c r="O44" s="327">
        <f t="shared" ref="O44" si="82">V44*-1</f>
        <v>0</v>
      </c>
      <c r="P44" s="492">
        <v>0</v>
      </c>
      <c r="Q44" s="325">
        <v>0</v>
      </c>
      <c r="R44" s="325">
        <v>0</v>
      </c>
      <c r="S44" s="325">
        <v>0</v>
      </c>
      <c r="T44" s="325">
        <v>0</v>
      </c>
      <c r="U44" s="492">
        <f>O44+P44+Q44+R44+S44+T44</f>
        <v>0</v>
      </c>
      <c r="V44" s="325">
        <v>0</v>
      </c>
      <c r="W44" s="325">
        <v>0</v>
      </c>
      <c r="X44" s="325">
        <v>0</v>
      </c>
      <c r="Y44" s="492">
        <f t="shared" si="75"/>
        <v>0</v>
      </c>
      <c r="Z44" s="492">
        <f t="shared" si="76"/>
        <v>0</v>
      </c>
      <c r="AA44" s="494">
        <f t="shared" si="77"/>
        <v>0</v>
      </c>
      <c r="AB44" s="494">
        <f t="shared" si="78"/>
        <v>0</v>
      </c>
      <c r="AC44" s="492">
        <v>0</v>
      </c>
      <c r="AD44" s="789">
        <f t="shared" si="79"/>
        <v>0</v>
      </c>
      <c r="AE44" s="715">
        <v>0</v>
      </c>
      <c r="AF44" s="491">
        <v>0</v>
      </c>
      <c r="AG44" s="326">
        <v>0</v>
      </c>
      <c r="AH44" s="326">
        <v>0</v>
      </c>
      <c r="AI44" s="326">
        <v>0</v>
      </c>
      <c r="AJ44" s="326">
        <v>0</v>
      </c>
      <c r="AK44" s="626">
        <f>SUM(AE44:AJ44)</f>
        <v>0</v>
      </c>
      <c r="AL44" s="696">
        <f>I44+AD44</f>
        <v>287732</v>
      </c>
      <c r="AM44" s="492">
        <f>J44+U44</f>
        <v>213451</v>
      </c>
      <c r="AN44" s="492">
        <f>Y44</f>
        <v>0</v>
      </c>
      <c r="AO44" s="492">
        <f t="shared" si="80"/>
        <v>72146</v>
      </c>
      <c r="AP44" s="492">
        <f t="shared" si="80"/>
        <v>2135</v>
      </c>
      <c r="AQ44" s="492">
        <f t="shared" si="80"/>
        <v>0</v>
      </c>
      <c r="AR44" s="626">
        <f>N44+AK44</f>
        <v>0.4</v>
      </c>
    </row>
    <row r="45" spans="1:44" ht="12.95" customHeight="1" x14ac:dyDescent="0.25">
      <c r="A45" s="205">
        <v>10</v>
      </c>
      <c r="B45" s="206">
        <v>4481</v>
      </c>
      <c r="C45" s="206">
        <v>600074722</v>
      </c>
      <c r="D45" s="206">
        <v>70942692</v>
      </c>
      <c r="E45" s="208" t="s">
        <v>311</v>
      </c>
      <c r="F45" s="206">
        <v>3113</v>
      </c>
      <c r="G45" s="209" t="s">
        <v>284</v>
      </c>
      <c r="H45" s="209" t="s">
        <v>263</v>
      </c>
      <c r="I45" s="586">
        <f t="shared" si="73"/>
        <v>0</v>
      </c>
      <c r="J45" s="490"/>
      <c r="K45" s="431">
        <f t="shared" si="81"/>
        <v>0</v>
      </c>
      <c r="L45" s="431">
        <f t="shared" si="74"/>
        <v>0</v>
      </c>
      <c r="M45" s="325">
        <v>0</v>
      </c>
      <c r="N45" s="752"/>
      <c r="O45" s="327">
        <f>V45*-1</f>
        <v>0</v>
      </c>
      <c r="P45" s="492">
        <f>2733846</f>
        <v>2733846</v>
      </c>
      <c r="Q45" s="325">
        <v>0</v>
      </c>
      <c r="R45" s="325">
        <v>0</v>
      </c>
      <c r="S45" s="325">
        <v>0</v>
      </c>
      <c r="T45" s="325">
        <v>0</v>
      </c>
      <c r="U45" s="492">
        <f>O45+P45+Q45+R45+S45+T45</f>
        <v>2733846</v>
      </c>
      <c r="V45" s="325">
        <v>0</v>
      </c>
      <c r="W45" s="325">
        <v>0</v>
      </c>
      <c r="X45" s="325">
        <v>0</v>
      </c>
      <c r="Y45" s="492">
        <f t="shared" si="75"/>
        <v>0</v>
      </c>
      <c r="Z45" s="492">
        <f t="shared" si="76"/>
        <v>2733846</v>
      </c>
      <c r="AA45" s="494">
        <f t="shared" si="77"/>
        <v>924040</v>
      </c>
      <c r="AB45" s="494">
        <f t="shared" si="78"/>
        <v>27338</v>
      </c>
      <c r="AC45" s="492">
        <v>0</v>
      </c>
      <c r="AD45" s="789">
        <f t="shared" si="79"/>
        <v>3685224</v>
      </c>
      <c r="AE45" s="715">
        <v>0</v>
      </c>
      <c r="AF45" s="491">
        <f>6.89</f>
        <v>6.89</v>
      </c>
      <c r="AG45" s="326">
        <v>0</v>
      </c>
      <c r="AH45" s="326">
        <v>0</v>
      </c>
      <c r="AI45" s="326">
        <v>0</v>
      </c>
      <c r="AJ45" s="326">
        <v>0</v>
      </c>
      <c r="AK45" s="626">
        <f>SUM(AE45:AJ45)</f>
        <v>6.89</v>
      </c>
      <c r="AL45" s="696">
        <f>I45+AD45</f>
        <v>3685224</v>
      </c>
      <c r="AM45" s="492">
        <f>J45+U45</f>
        <v>2733846</v>
      </c>
      <c r="AN45" s="492">
        <f>Y45</f>
        <v>0</v>
      </c>
      <c r="AO45" s="492">
        <f t="shared" si="80"/>
        <v>924040</v>
      </c>
      <c r="AP45" s="492">
        <f t="shared" si="80"/>
        <v>27338</v>
      </c>
      <c r="AQ45" s="492">
        <f t="shared" si="80"/>
        <v>0</v>
      </c>
      <c r="AR45" s="626">
        <f>N45+AK45</f>
        <v>6.89</v>
      </c>
    </row>
    <row r="46" spans="1:44" ht="12.95" customHeight="1" x14ac:dyDescent="0.25">
      <c r="A46" s="205">
        <v>10</v>
      </c>
      <c r="B46" s="206">
        <v>4481</v>
      </c>
      <c r="C46" s="206">
        <v>600074722</v>
      </c>
      <c r="D46" s="206">
        <v>70942692</v>
      </c>
      <c r="E46" s="208" t="s">
        <v>311</v>
      </c>
      <c r="F46" s="206">
        <v>3143</v>
      </c>
      <c r="G46" s="209" t="s">
        <v>794</v>
      </c>
      <c r="H46" s="209" t="s">
        <v>262</v>
      </c>
      <c r="I46" s="586">
        <f t="shared" si="73"/>
        <v>2195680</v>
      </c>
      <c r="J46" s="490">
        <v>1628843</v>
      </c>
      <c r="K46" s="431">
        <f t="shared" si="81"/>
        <v>550549</v>
      </c>
      <c r="L46" s="431">
        <f t="shared" si="74"/>
        <v>16288</v>
      </c>
      <c r="M46" s="325">
        <v>0</v>
      </c>
      <c r="N46" s="752">
        <v>3.1071</v>
      </c>
      <c r="O46" s="327">
        <f>V46*-1</f>
        <v>0</v>
      </c>
      <c r="P46" s="492">
        <v>0</v>
      </c>
      <c r="Q46" s="325">
        <v>0</v>
      </c>
      <c r="R46" s="325">
        <v>0</v>
      </c>
      <c r="S46" s="325">
        <v>0</v>
      </c>
      <c r="T46" s="325">
        <v>0</v>
      </c>
      <c r="U46" s="492">
        <f>O46+P46+Q46+R46+S46+T46</f>
        <v>0</v>
      </c>
      <c r="V46" s="325">
        <v>0</v>
      </c>
      <c r="W46" s="325">
        <v>0</v>
      </c>
      <c r="X46" s="325">
        <v>0</v>
      </c>
      <c r="Y46" s="492">
        <f t="shared" si="75"/>
        <v>0</v>
      </c>
      <c r="Z46" s="492">
        <f t="shared" si="76"/>
        <v>0</v>
      </c>
      <c r="AA46" s="494">
        <f t="shared" si="77"/>
        <v>0</v>
      </c>
      <c r="AB46" s="494">
        <f t="shared" si="78"/>
        <v>0</v>
      </c>
      <c r="AC46" s="492">
        <v>0</v>
      </c>
      <c r="AD46" s="789">
        <f t="shared" si="79"/>
        <v>0</v>
      </c>
      <c r="AE46" s="715">
        <v>0</v>
      </c>
      <c r="AF46" s="491">
        <v>0</v>
      </c>
      <c r="AG46" s="326">
        <v>0</v>
      </c>
      <c r="AH46" s="326">
        <v>0</v>
      </c>
      <c r="AI46" s="326">
        <v>0</v>
      </c>
      <c r="AJ46" s="326">
        <v>0</v>
      </c>
      <c r="AK46" s="626">
        <f>SUM(AE46:AJ46)</f>
        <v>0</v>
      </c>
      <c r="AL46" s="696">
        <f>I46+AD46</f>
        <v>2195680</v>
      </c>
      <c r="AM46" s="492">
        <f>J46+U46</f>
        <v>1628843</v>
      </c>
      <c r="AN46" s="492">
        <f>Y46</f>
        <v>0</v>
      </c>
      <c r="AO46" s="492">
        <f t="shared" si="80"/>
        <v>550549</v>
      </c>
      <c r="AP46" s="492">
        <f t="shared" si="80"/>
        <v>16288</v>
      </c>
      <c r="AQ46" s="492">
        <f t="shared" si="80"/>
        <v>0</v>
      </c>
      <c r="AR46" s="626">
        <f>N46+AK46</f>
        <v>3.1071</v>
      </c>
    </row>
    <row r="47" spans="1:44" ht="12.95" customHeight="1" x14ac:dyDescent="0.25">
      <c r="A47" s="198">
        <v>10</v>
      </c>
      <c r="B47" s="200">
        <v>4481</v>
      </c>
      <c r="C47" s="200">
        <v>600074722</v>
      </c>
      <c r="D47" s="200">
        <v>70942692</v>
      </c>
      <c r="E47" s="213" t="s">
        <v>312</v>
      </c>
      <c r="F47" s="216"/>
      <c r="G47" s="217"/>
      <c r="H47" s="217"/>
      <c r="I47" s="688">
        <f>SUM(I43:I46)</f>
        <v>27690962</v>
      </c>
      <c r="J47" s="353">
        <f t="shared" ref="J47:AR47" si="83">SUM(J43:J46)</f>
        <v>20542256</v>
      </c>
      <c r="K47" s="353">
        <f t="shared" si="83"/>
        <v>6943283</v>
      </c>
      <c r="L47" s="353">
        <f t="shared" si="83"/>
        <v>205423</v>
      </c>
      <c r="M47" s="353">
        <f t="shared" ref="M47" si="84">SUM(M43:M46)</f>
        <v>0</v>
      </c>
      <c r="N47" s="215">
        <f t="shared" si="83"/>
        <v>28.724999999999998</v>
      </c>
      <c r="O47" s="688">
        <f t="shared" si="83"/>
        <v>0</v>
      </c>
      <c r="P47" s="353">
        <f t="shared" si="83"/>
        <v>2733846</v>
      </c>
      <c r="Q47" s="353">
        <f t="shared" si="83"/>
        <v>0</v>
      </c>
      <c r="R47" s="353">
        <f t="shared" si="83"/>
        <v>0</v>
      </c>
      <c r="S47" s="353">
        <f t="shared" si="83"/>
        <v>0</v>
      </c>
      <c r="T47" s="353">
        <f t="shared" si="83"/>
        <v>0</v>
      </c>
      <c r="U47" s="353">
        <f t="shared" si="83"/>
        <v>2733846</v>
      </c>
      <c r="V47" s="353">
        <f t="shared" si="83"/>
        <v>0</v>
      </c>
      <c r="W47" s="353">
        <f t="shared" si="83"/>
        <v>0</v>
      </c>
      <c r="X47" s="353">
        <f t="shared" si="83"/>
        <v>0</v>
      </c>
      <c r="Y47" s="353">
        <f t="shared" si="83"/>
        <v>0</v>
      </c>
      <c r="Z47" s="353">
        <f t="shared" si="83"/>
        <v>2733846</v>
      </c>
      <c r="AA47" s="353">
        <f t="shared" si="83"/>
        <v>924040</v>
      </c>
      <c r="AB47" s="353">
        <f t="shared" si="83"/>
        <v>27338</v>
      </c>
      <c r="AC47" s="353">
        <f t="shared" si="83"/>
        <v>0</v>
      </c>
      <c r="AD47" s="685">
        <f t="shared" si="83"/>
        <v>3685224</v>
      </c>
      <c r="AE47" s="830">
        <v>0</v>
      </c>
      <c r="AF47" s="354">
        <f t="shared" si="83"/>
        <v>6.89</v>
      </c>
      <c r="AG47" s="354">
        <f t="shared" si="83"/>
        <v>0</v>
      </c>
      <c r="AH47" s="354">
        <f t="shared" si="83"/>
        <v>0</v>
      </c>
      <c r="AI47" s="354">
        <f t="shared" si="83"/>
        <v>0</v>
      </c>
      <c r="AJ47" s="354">
        <f t="shared" si="83"/>
        <v>0</v>
      </c>
      <c r="AK47" s="215">
        <f t="shared" si="83"/>
        <v>6.89</v>
      </c>
      <c r="AL47" s="688">
        <f t="shared" si="83"/>
        <v>31376186</v>
      </c>
      <c r="AM47" s="353">
        <f t="shared" si="83"/>
        <v>23276102</v>
      </c>
      <c r="AN47" s="353">
        <f t="shared" si="83"/>
        <v>0</v>
      </c>
      <c r="AO47" s="353">
        <f t="shared" si="83"/>
        <v>7867323</v>
      </c>
      <c r="AP47" s="353">
        <f t="shared" si="83"/>
        <v>232761</v>
      </c>
      <c r="AQ47" s="353">
        <f t="shared" si="83"/>
        <v>0</v>
      </c>
      <c r="AR47" s="215">
        <f t="shared" si="83"/>
        <v>35.615000000000002</v>
      </c>
    </row>
    <row r="48" spans="1:44" ht="12.95" customHeight="1" x14ac:dyDescent="0.25">
      <c r="A48" s="205">
        <v>11</v>
      </c>
      <c r="B48" s="206">
        <v>4469</v>
      </c>
      <c r="C48" s="206">
        <v>600075079</v>
      </c>
      <c r="D48" s="206">
        <v>70695334</v>
      </c>
      <c r="E48" s="208" t="s">
        <v>313</v>
      </c>
      <c r="F48" s="206">
        <v>3231</v>
      </c>
      <c r="G48" s="209" t="s">
        <v>383</v>
      </c>
      <c r="H48" s="209" t="s">
        <v>262</v>
      </c>
      <c r="I48" s="586">
        <f>SUM(J48:M48)</f>
        <v>4098374</v>
      </c>
      <c r="J48" s="490">
        <v>3040337</v>
      </c>
      <c r="K48" s="431">
        <f>ROUND(J48*33.8%,0)</f>
        <v>1027634</v>
      </c>
      <c r="L48" s="431">
        <f>ROUND(J48*1%,0)</f>
        <v>30403</v>
      </c>
      <c r="M48" s="325">
        <v>0</v>
      </c>
      <c r="N48" s="752">
        <v>4.5669000000000004</v>
      </c>
      <c r="O48" s="327">
        <f>V48*-1</f>
        <v>0</v>
      </c>
      <c r="P48" s="492">
        <v>0</v>
      </c>
      <c r="Q48" s="325">
        <v>0</v>
      </c>
      <c r="R48" s="325">
        <v>0</v>
      </c>
      <c r="S48" s="325">
        <v>0</v>
      </c>
      <c r="T48" s="325">
        <v>0</v>
      </c>
      <c r="U48" s="492">
        <f>O48+P48+Q48+R48+S48+T48</f>
        <v>0</v>
      </c>
      <c r="V48" s="325">
        <v>0</v>
      </c>
      <c r="W48" s="325">
        <v>0</v>
      </c>
      <c r="X48" s="325">
        <v>0</v>
      </c>
      <c r="Y48" s="492">
        <f>V48+W48+X48</f>
        <v>0</v>
      </c>
      <c r="Z48" s="492">
        <f>U48+Y48</f>
        <v>0</v>
      </c>
      <c r="AA48" s="494">
        <f>ROUND((U48+Y48)*33.8%,0)</f>
        <v>0</v>
      </c>
      <c r="AB48" s="494">
        <f>ROUND(U48*1%,0)</f>
        <v>0</v>
      </c>
      <c r="AC48" s="492">
        <v>0</v>
      </c>
      <c r="AD48" s="789">
        <f>Z48+AA48+AB48+AC48</f>
        <v>0</v>
      </c>
      <c r="AE48" s="715">
        <v>0</v>
      </c>
      <c r="AF48" s="491">
        <v>0</v>
      </c>
      <c r="AG48" s="326">
        <v>0</v>
      </c>
      <c r="AH48" s="326">
        <v>0</v>
      </c>
      <c r="AI48" s="326">
        <v>0</v>
      </c>
      <c r="AJ48" s="326">
        <v>0</v>
      </c>
      <c r="AK48" s="626">
        <f>SUM(AE48:AJ48)</f>
        <v>0</v>
      </c>
      <c r="AL48" s="696">
        <f>I48+AD48</f>
        <v>4098374</v>
      </c>
      <c r="AM48" s="492">
        <f>J48+U48</f>
        <v>3040337</v>
      </c>
      <c r="AN48" s="492">
        <f>Y48</f>
        <v>0</v>
      </c>
      <c r="AO48" s="492">
        <f>K48+AA48</f>
        <v>1027634</v>
      </c>
      <c r="AP48" s="492">
        <f>L48+AB48</f>
        <v>30403</v>
      </c>
      <c r="AQ48" s="492">
        <f>M48+AC48</f>
        <v>0</v>
      </c>
      <c r="AR48" s="626">
        <f>N48+AK48</f>
        <v>4.5669000000000004</v>
      </c>
    </row>
    <row r="49" spans="1:44" ht="12.95" customHeight="1" x14ac:dyDescent="0.25">
      <c r="A49" s="198">
        <v>11</v>
      </c>
      <c r="B49" s="200">
        <v>4469</v>
      </c>
      <c r="C49" s="200">
        <v>600075079</v>
      </c>
      <c r="D49" s="200">
        <v>70695334</v>
      </c>
      <c r="E49" s="213" t="s">
        <v>314</v>
      </c>
      <c r="F49" s="216"/>
      <c r="G49" s="217"/>
      <c r="H49" s="217"/>
      <c r="I49" s="688">
        <f t="shared" ref="I49:AR49" si="85">SUM(I48)</f>
        <v>4098374</v>
      </c>
      <c r="J49" s="353">
        <f t="shared" si="85"/>
        <v>3040337</v>
      </c>
      <c r="K49" s="353">
        <f t="shared" si="85"/>
        <v>1027634</v>
      </c>
      <c r="L49" s="353">
        <f t="shared" si="85"/>
        <v>30403</v>
      </c>
      <c r="M49" s="353">
        <f t="shared" ref="M49" si="86">SUM(M48)</f>
        <v>0</v>
      </c>
      <c r="N49" s="817">
        <f t="shared" si="85"/>
        <v>4.5669000000000004</v>
      </c>
      <c r="O49" s="688">
        <f t="shared" si="85"/>
        <v>0</v>
      </c>
      <c r="P49" s="353">
        <f t="shared" si="85"/>
        <v>0</v>
      </c>
      <c r="Q49" s="353">
        <f t="shared" si="85"/>
        <v>0</v>
      </c>
      <c r="R49" s="353">
        <f t="shared" si="85"/>
        <v>0</v>
      </c>
      <c r="S49" s="353">
        <f t="shared" si="85"/>
        <v>0</v>
      </c>
      <c r="T49" s="353">
        <f t="shared" si="85"/>
        <v>0</v>
      </c>
      <c r="U49" s="353">
        <f t="shared" si="85"/>
        <v>0</v>
      </c>
      <c r="V49" s="353">
        <f t="shared" si="85"/>
        <v>0</v>
      </c>
      <c r="W49" s="353">
        <f t="shared" si="85"/>
        <v>0</v>
      </c>
      <c r="X49" s="353">
        <f t="shared" si="85"/>
        <v>0</v>
      </c>
      <c r="Y49" s="353">
        <f t="shared" si="85"/>
        <v>0</v>
      </c>
      <c r="Z49" s="353">
        <f t="shared" si="85"/>
        <v>0</v>
      </c>
      <c r="AA49" s="353">
        <f t="shared" si="85"/>
        <v>0</v>
      </c>
      <c r="AB49" s="353">
        <f t="shared" si="85"/>
        <v>0</v>
      </c>
      <c r="AC49" s="353">
        <f t="shared" si="85"/>
        <v>0</v>
      </c>
      <c r="AD49" s="685">
        <f t="shared" si="85"/>
        <v>0</v>
      </c>
      <c r="AE49" s="830">
        <v>0</v>
      </c>
      <c r="AF49" s="354">
        <f t="shared" si="85"/>
        <v>0</v>
      </c>
      <c r="AG49" s="354">
        <f t="shared" si="85"/>
        <v>0</v>
      </c>
      <c r="AH49" s="354">
        <f t="shared" si="85"/>
        <v>0</v>
      </c>
      <c r="AI49" s="354">
        <f t="shared" si="85"/>
        <v>0</v>
      </c>
      <c r="AJ49" s="354">
        <f t="shared" si="85"/>
        <v>0</v>
      </c>
      <c r="AK49" s="215">
        <f t="shared" si="85"/>
        <v>0</v>
      </c>
      <c r="AL49" s="688">
        <f t="shared" si="85"/>
        <v>4098374</v>
      </c>
      <c r="AM49" s="353">
        <f t="shared" si="85"/>
        <v>3040337</v>
      </c>
      <c r="AN49" s="353">
        <f t="shared" si="85"/>
        <v>0</v>
      </c>
      <c r="AO49" s="353">
        <f t="shared" si="85"/>
        <v>1027634</v>
      </c>
      <c r="AP49" s="353">
        <f t="shared" si="85"/>
        <v>30403</v>
      </c>
      <c r="AQ49" s="353">
        <f t="shared" si="85"/>
        <v>0</v>
      </c>
      <c r="AR49" s="215">
        <f t="shared" si="85"/>
        <v>4.5669000000000004</v>
      </c>
    </row>
    <row r="50" spans="1:44" ht="12.95" customHeight="1" x14ac:dyDescent="0.25">
      <c r="A50" s="205">
        <v>12</v>
      </c>
      <c r="B50" s="206">
        <v>4451</v>
      </c>
      <c r="C50" s="206">
        <v>600074927</v>
      </c>
      <c r="D50" s="206">
        <v>49864653</v>
      </c>
      <c r="E50" s="208" t="s">
        <v>315</v>
      </c>
      <c r="F50" s="206">
        <v>3111</v>
      </c>
      <c r="G50" s="209" t="s">
        <v>290</v>
      </c>
      <c r="H50" s="209" t="s">
        <v>262</v>
      </c>
      <c r="I50" s="586">
        <f t="shared" ref="I50:I53" si="87">SUM(J50:M50)</f>
        <v>7799078</v>
      </c>
      <c r="J50" s="490">
        <v>5785666</v>
      </c>
      <c r="K50" s="431">
        <f t="shared" ref="K50:K53" si="88">ROUND(J50*33.8%,0)</f>
        <v>1955555</v>
      </c>
      <c r="L50" s="431">
        <f t="shared" ref="L50:L53" si="89">ROUND(J50*1%,0)</f>
        <v>57857</v>
      </c>
      <c r="M50" s="325">
        <v>0</v>
      </c>
      <c r="N50" s="752">
        <v>9.7581000000000007</v>
      </c>
      <c r="O50" s="327">
        <f t="shared" ref="O50:O53" si="90">V50*-1</f>
        <v>-36000</v>
      </c>
      <c r="P50" s="492">
        <v>0</v>
      </c>
      <c r="Q50" s="325">
        <v>0</v>
      </c>
      <c r="R50" s="325">
        <v>0</v>
      </c>
      <c r="S50" s="325">
        <v>0</v>
      </c>
      <c r="T50" s="325">
        <v>0</v>
      </c>
      <c r="U50" s="492">
        <f>O50+P50+Q50+R50+S50+T50</f>
        <v>-36000</v>
      </c>
      <c r="V50" s="325">
        <v>36000</v>
      </c>
      <c r="W50" s="325">
        <v>0</v>
      </c>
      <c r="X50" s="325">
        <v>0</v>
      </c>
      <c r="Y50" s="492">
        <f t="shared" ref="Y50:Y53" si="91">V50+W50+X50</f>
        <v>36000</v>
      </c>
      <c r="Z50" s="492">
        <f t="shared" ref="Z50:Z53" si="92">U50+Y50</f>
        <v>0</v>
      </c>
      <c r="AA50" s="494">
        <f t="shared" ref="AA50:AA53" si="93">ROUND((U50+Y50)*33.8%,0)</f>
        <v>0</v>
      </c>
      <c r="AB50" s="494">
        <f t="shared" ref="AB50:AB53" si="94">ROUND(U50*1%,0)</f>
        <v>-360</v>
      </c>
      <c r="AC50" s="492">
        <v>0</v>
      </c>
      <c r="AD50" s="789">
        <f t="shared" ref="AD50:AD53" si="95">Z50+AA50+AB50+AC50</f>
        <v>-360</v>
      </c>
      <c r="AE50" s="715">
        <v>-0.05</v>
      </c>
      <c r="AF50" s="491">
        <v>0</v>
      </c>
      <c r="AG50" s="326">
        <v>0</v>
      </c>
      <c r="AH50" s="326">
        <v>0</v>
      </c>
      <c r="AI50" s="326">
        <v>0</v>
      </c>
      <c r="AJ50" s="326">
        <v>0</v>
      </c>
      <c r="AK50" s="626">
        <f>SUM(AE50:AJ50)</f>
        <v>-0.05</v>
      </c>
      <c r="AL50" s="696">
        <f>I50+AD50</f>
        <v>7798718</v>
      </c>
      <c r="AM50" s="492">
        <f>J50+U50</f>
        <v>5749666</v>
      </c>
      <c r="AN50" s="492">
        <f>Y50</f>
        <v>36000</v>
      </c>
      <c r="AO50" s="492">
        <f t="shared" ref="AO50:AQ53" si="96">K50+AA50</f>
        <v>1955555</v>
      </c>
      <c r="AP50" s="492">
        <f t="shared" si="96"/>
        <v>57497</v>
      </c>
      <c r="AQ50" s="492">
        <f t="shared" si="96"/>
        <v>0</v>
      </c>
      <c r="AR50" s="626">
        <f>N50+AK50</f>
        <v>9.7081</v>
      </c>
    </row>
    <row r="51" spans="1:44" ht="12.95" customHeight="1" x14ac:dyDescent="0.25">
      <c r="A51" s="205">
        <v>12</v>
      </c>
      <c r="B51" s="206">
        <v>4451</v>
      </c>
      <c r="C51" s="206">
        <v>600074927</v>
      </c>
      <c r="D51" s="206">
        <v>49864653</v>
      </c>
      <c r="E51" s="208" t="s">
        <v>315</v>
      </c>
      <c r="F51" s="206">
        <v>3113</v>
      </c>
      <c r="G51" s="209" t="s">
        <v>294</v>
      </c>
      <c r="H51" s="209" t="s">
        <v>262</v>
      </c>
      <c r="I51" s="586">
        <f t="shared" si="87"/>
        <v>26432092</v>
      </c>
      <c r="J51" s="490">
        <v>19608377</v>
      </c>
      <c r="K51" s="431">
        <f t="shared" si="88"/>
        <v>6627631</v>
      </c>
      <c r="L51" s="431">
        <f t="shared" si="89"/>
        <v>196084</v>
      </c>
      <c r="M51" s="325">
        <v>0</v>
      </c>
      <c r="N51" s="752">
        <v>27.136700000000001</v>
      </c>
      <c r="O51" s="327">
        <f t="shared" si="90"/>
        <v>-45600</v>
      </c>
      <c r="P51" s="492">
        <v>0</v>
      </c>
      <c r="Q51" s="325">
        <v>0</v>
      </c>
      <c r="R51" s="325">
        <v>0</v>
      </c>
      <c r="S51" s="325">
        <v>0</v>
      </c>
      <c r="T51" s="325">
        <v>0</v>
      </c>
      <c r="U51" s="492">
        <f>O51+P51+Q51+R51+S51+T51</f>
        <v>-45600</v>
      </c>
      <c r="V51" s="325">
        <v>45600</v>
      </c>
      <c r="W51" s="325">
        <v>0</v>
      </c>
      <c r="X51" s="325">
        <v>0</v>
      </c>
      <c r="Y51" s="492">
        <f t="shared" si="91"/>
        <v>45600</v>
      </c>
      <c r="Z51" s="492">
        <f t="shared" si="92"/>
        <v>0</v>
      </c>
      <c r="AA51" s="494">
        <f t="shared" si="93"/>
        <v>0</v>
      </c>
      <c r="AB51" s="494">
        <f t="shared" si="94"/>
        <v>-456</v>
      </c>
      <c r="AC51" s="492">
        <v>0</v>
      </c>
      <c r="AD51" s="789">
        <f t="shared" si="95"/>
        <v>-456</v>
      </c>
      <c r="AE51" s="715">
        <v>-0.06</v>
      </c>
      <c r="AF51" s="491">
        <v>0</v>
      </c>
      <c r="AG51" s="326">
        <v>0</v>
      </c>
      <c r="AH51" s="326">
        <v>0</v>
      </c>
      <c r="AI51" s="326">
        <v>0</v>
      </c>
      <c r="AJ51" s="326">
        <v>0</v>
      </c>
      <c r="AK51" s="626">
        <f>SUM(AE51:AJ51)</f>
        <v>-0.06</v>
      </c>
      <c r="AL51" s="696">
        <f>I51+AD51</f>
        <v>26431636</v>
      </c>
      <c r="AM51" s="492">
        <f>J51+U51</f>
        <v>19562777</v>
      </c>
      <c r="AN51" s="492">
        <f>Y51</f>
        <v>45600</v>
      </c>
      <c r="AO51" s="492">
        <f t="shared" si="96"/>
        <v>6627631</v>
      </c>
      <c r="AP51" s="492">
        <f t="shared" si="96"/>
        <v>195628</v>
      </c>
      <c r="AQ51" s="492">
        <f t="shared" si="96"/>
        <v>0</v>
      </c>
      <c r="AR51" s="626">
        <f>N51+AK51</f>
        <v>27.076700000000002</v>
      </c>
    </row>
    <row r="52" spans="1:44" ht="12.95" customHeight="1" x14ac:dyDescent="0.25">
      <c r="A52" s="205">
        <v>12</v>
      </c>
      <c r="B52" s="206">
        <v>4451</v>
      </c>
      <c r="C52" s="206">
        <v>600074927</v>
      </c>
      <c r="D52" s="206">
        <v>49864653</v>
      </c>
      <c r="E52" s="208" t="s">
        <v>315</v>
      </c>
      <c r="F52" s="206">
        <v>3113</v>
      </c>
      <c r="G52" s="209" t="s">
        <v>284</v>
      </c>
      <c r="H52" s="209" t="s">
        <v>263</v>
      </c>
      <c r="I52" s="586">
        <f t="shared" si="87"/>
        <v>0</v>
      </c>
      <c r="J52" s="490"/>
      <c r="K52" s="431">
        <f t="shared" si="88"/>
        <v>0</v>
      </c>
      <c r="L52" s="431">
        <f t="shared" si="89"/>
        <v>0</v>
      </c>
      <c r="M52" s="325">
        <v>0</v>
      </c>
      <c r="N52" s="752"/>
      <c r="O52" s="327">
        <f t="shared" si="90"/>
        <v>0</v>
      </c>
      <c r="P52" s="492">
        <f>4273729+90944</f>
        <v>4364673</v>
      </c>
      <c r="Q52" s="325">
        <v>0</v>
      </c>
      <c r="R52" s="325">
        <v>0</v>
      </c>
      <c r="S52" s="325">
        <v>0</v>
      </c>
      <c r="T52" s="325">
        <v>0</v>
      </c>
      <c r="U52" s="492">
        <f>O52+P52+Q52+R52+S52+T52</f>
        <v>4364673</v>
      </c>
      <c r="V52" s="325">
        <v>0</v>
      </c>
      <c r="W52" s="325">
        <v>0</v>
      </c>
      <c r="X52" s="325">
        <v>0</v>
      </c>
      <c r="Y52" s="492">
        <f t="shared" si="91"/>
        <v>0</v>
      </c>
      <c r="Z52" s="492">
        <f t="shared" si="92"/>
        <v>4364673</v>
      </c>
      <c r="AA52" s="494">
        <f t="shared" si="93"/>
        <v>1475259</v>
      </c>
      <c r="AB52" s="494">
        <f t="shared" si="94"/>
        <v>43647</v>
      </c>
      <c r="AC52" s="492">
        <v>0</v>
      </c>
      <c r="AD52" s="789">
        <f t="shared" si="95"/>
        <v>5883579</v>
      </c>
      <c r="AE52" s="715">
        <v>0</v>
      </c>
      <c r="AF52" s="491">
        <f>11.28+0.23</f>
        <v>11.51</v>
      </c>
      <c r="AG52" s="326">
        <v>0</v>
      </c>
      <c r="AH52" s="326">
        <v>0</v>
      </c>
      <c r="AI52" s="326">
        <v>0</v>
      </c>
      <c r="AJ52" s="326">
        <v>0</v>
      </c>
      <c r="AK52" s="626">
        <f>SUM(AE52:AJ52)</f>
        <v>11.51</v>
      </c>
      <c r="AL52" s="696">
        <f>I52+AD52</f>
        <v>5883579</v>
      </c>
      <c r="AM52" s="492">
        <f>J52+U52</f>
        <v>4364673</v>
      </c>
      <c r="AN52" s="492">
        <f>Y52</f>
        <v>0</v>
      </c>
      <c r="AO52" s="492">
        <f t="shared" si="96"/>
        <v>1475259</v>
      </c>
      <c r="AP52" s="492">
        <f t="shared" si="96"/>
        <v>43647</v>
      </c>
      <c r="AQ52" s="492">
        <f t="shared" si="96"/>
        <v>0</v>
      </c>
      <c r="AR52" s="626">
        <f>N52+AK52</f>
        <v>11.51</v>
      </c>
    </row>
    <row r="53" spans="1:44" ht="12.95" customHeight="1" x14ac:dyDescent="0.25">
      <c r="A53" s="205">
        <v>12</v>
      </c>
      <c r="B53" s="206">
        <v>4451</v>
      </c>
      <c r="C53" s="206">
        <v>600074927</v>
      </c>
      <c r="D53" s="206">
        <v>49864653</v>
      </c>
      <c r="E53" s="208" t="s">
        <v>315</v>
      </c>
      <c r="F53" s="206">
        <v>3143</v>
      </c>
      <c r="G53" s="209" t="s">
        <v>794</v>
      </c>
      <c r="H53" s="209" t="s">
        <v>262</v>
      </c>
      <c r="I53" s="586">
        <f t="shared" si="87"/>
        <v>2526601</v>
      </c>
      <c r="J53" s="490">
        <v>1874333</v>
      </c>
      <c r="K53" s="431">
        <f t="shared" si="88"/>
        <v>633525</v>
      </c>
      <c r="L53" s="431">
        <f t="shared" si="89"/>
        <v>18743</v>
      </c>
      <c r="M53" s="325">
        <v>0</v>
      </c>
      <c r="N53" s="752">
        <v>3.5</v>
      </c>
      <c r="O53" s="327">
        <f t="shared" si="90"/>
        <v>0</v>
      </c>
      <c r="P53" s="492">
        <v>0</v>
      </c>
      <c r="Q53" s="325">
        <v>0</v>
      </c>
      <c r="R53" s="325">
        <v>0</v>
      </c>
      <c r="S53" s="325">
        <v>0</v>
      </c>
      <c r="T53" s="325">
        <v>0</v>
      </c>
      <c r="U53" s="492">
        <f>O53+P53+Q53+R53+S53+T53</f>
        <v>0</v>
      </c>
      <c r="V53" s="325">
        <v>0</v>
      </c>
      <c r="W53" s="325">
        <v>0</v>
      </c>
      <c r="X53" s="325">
        <v>0</v>
      </c>
      <c r="Y53" s="492">
        <f t="shared" si="91"/>
        <v>0</v>
      </c>
      <c r="Z53" s="492">
        <f t="shared" si="92"/>
        <v>0</v>
      </c>
      <c r="AA53" s="494">
        <f t="shared" si="93"/>
        <v>0</v>
      </c>
      <c r="AB53" s="494">
        <f t="shared" si="94"/>
        <v>0</v>
      </c>
      <c r="AC53" s="492">
        <v>0</v>
      </c>
      <c r="AD53" s="789">
        <f t="shared" si="95"/>
        <v>0</v>
      </c>
      <c r="AE53" s="715">
        <v>0</v>
      </c>
      <c r="AF53" s="491">
        <v>0</v>
      </c>
      <c r="AG53" s="326">
        <v>0</v>
      </c>
      <c r="AH53" s="326">
        <v>0</v>
      </c>
      <c r="AI53" s="326">
        <v>0</v>
      </c>
      <c r="AJ53" s="326">
        <v>0</v>
      </c>
      <c r="AK53" s="626">
        <f>SUM(AE53:AJ53)</f>
        <v>0</v>
      </c>
      <c r="AL53" s="696">
        <f>I53+AD53</f>
        <v>2526601</v>
      </c>
      <c r="AM53" s="492">
        <f>J53+U53</f>
        <v>1874333</v>
      </c>
      <c r="AN53" s="492">
        <f>Y53</f>
        <v>0</v>
      </c>
      <c r="AO53" s="492">
        <f t="shared" si="96"/>
        <v>633525</v>
      </c>
      <c r="AP53" s="492">
        <f t="shared" si="96"/>
        <v>18743</v>
      </c>
      <c r="AQ53" s="492">
        <f t="shared" si="96"/>
        <v>0</v>
      </c>
      <c r="AR53" s="626">
        <f>N53+AK53</f>
        <v>3.5</v>
      </c>
    </row>
    <row r="54" spans="1:44" ht="12.95" customHeight="1" x14ac:dyDescent="0.25">
      <c r="A54" s="198">
        <v>12</v>
      </c>
      <c r="B54" s="200">
        <v>4451</v>
      </c>
      <c r="C54" s="200">
        <v>600074927</v>
      </c>
      <c r="D54" s="200">
        <v>49864653</v>
      </c>
      <c r="E54" s="213" t="s">
        <v>316</v>
      </c>
      <c r="F54" s="216"/>
      <c r="G54" s="217"/>
      <c r="H54" s="217"/>
      <c r="I54" s="688">
        <f t="shared" ref="I54:AR54" si="97">SUM(I50:I53)</f>
        <v>36757771</v>
      </c>
      <c r="J54" s="353">
        <f t="shared" si="97"/>
        <v>27268376</v>
      </c>
      <c r="K54" s="353">
        <f t="shared" si="97"/>
        <v>9216711</v>
      </c>
      <c r="L54" s="353">
        <f t="shared" si="97"/>
        <v>272684</v>
      </c>
      <c r="M54" s="353">
        <f t="shared" ref="M54" si="98">SUM(M50:M53)</f>
        <v>0</v>
      </c>
      <c r="N54" s="817">
        <f t="shared" si="97"/>
        <v>40.394800000000004</v>
      </c>
      <c r="O54" s="688">
        <f t="shared" si="97"/>
        <v>-81600</v>
      </c>
      <c r="P54" s="353">
        <f t="shared" si="97"/>
        <v>4364673</v>
      </c>
      <c r="Q54" s="353">
        <f t="shared" si="97"/>
        <v>0</v>
      </c>
      <c r="R54" s="353">
        <f t="shared" si="97"/>
        <v>0</v>
      </c>
      <c r="S54" s="353">
        <f t="shared" si="97"/>
        <v>0</v>
      </c>
      <c r="T54" s="353">
        <f t="shared" si="97"/>
        <v>0</v>
      </c>
      <c r="U54" s="353">
        <f t="shared" si="97"/>
        <v>4283073</v>
      </c>
      <c r="V54" s="353">
        <f t="shared" si="97"/>
        <v>81600</v>
      </c>
      <c r="W54" s="353">
        <f t="shared" si="97"/>
        <v>0</v>
      </c>
      <c r="X54" s="353">
        <f t="shared" si="97"/>
        <v>0</v>
      </c>
      <c r="Y54" s="353">
        <f t="shared" si="97"/>
        <v>81600</v>
      </c>
      <c r="Z54" s="353">
        <f t="shared" si="97"/>
        <v>4364673</v>
      </c>
      <c r="AA54" s="353">
        <f t="shared" si="97"/>
        <v>1475259</v>
      </c>
      <c r="AB54" s="353">
        <f t="shared" si="97"/>
        <v>42831</v>
      </c>
      <c r="AC54" s="353">
        <f t="shared" si="97"/>
        <v>0</v>
      </c>
      <c r="AD54" s="685">
        <f t="shared" si="97"/>
        <v>5882763</v>
      </c>
      <c r="AE54" s="830">
        <v>-0.11</v>
      </c>
      <c r="AF54" s="354">
        <f t="shared" si="97"/>
        <v>11.51</v>
      </c>
      <c r="AG54" s="354">
        <f t="shared" si="97"/>
        <v>0</v>
      </c>
      <c r="AH54" s="354">
        <f t="shared" si="97"/>
        <v>0</v>
      </c>
      <c r="AI54" s="354">
        <f t="shared" si="97"/>
        <v>0</v>
      </c>
      <c r="AJ54" s="354">
        <f t="shared" si="97"/>
        <v>0</v>
      </c>
      <c r="AK54" s="215">
        <f t="shared" si="97"/>
        <v>11.4</v>
      </c>
      <c r="AL54" s="688">
        <f t="shared" si="97"/>
        <v>42640534</v>
      </c>
      <c r="AM54" s="353">
        <f t="shared" si="97"/>
        <v>31551449</v>
      </c>
      <c r="AN54" s="353">
        <f t="shared" si="97"/>
        <v>81600</v>
      </c>
      <c r="AO54" s="353">
        <f t="shared" si="97"/>
        <v>10691970</v>
      </c>
      <c r="AP54" s="353">
        <f t="shared" si="97"/>
        <v>315515</v>
      </c>
      <c r="AQ54" s="353">
        <f t="shared" si="97"/>
        <v>0</v>
      </c>
      <c r="AR54" s="215">
        <f t="shared" si="97"/>
        <v>51.794800000000002</v>
      </c>
    </row>
    <row r="55" spans="1:44" ht="12.95" customHeight="1" x14ac:dyDescent="0.25">
      <c r="A55" s="205">
        <v>13</v>
      </c>
      <c r="B55" s="206">
        <v>4450</v>
      </c>
      <c r="C55" s="206">
        <v>650033841</v>
      </c>
      <c r="D55" s="206">
        <v>72744995</v>
      </c>
      <c r="E55" s="208" t="s">
        <v>317</v>
      </c>
      <c r="F55" s="206">
        <v>3111</v>
      </c>
      <c r="G55" s="209" t="s">
        <v>318</v>
      </c>
      <c r="H55" s="209" t="s">
        <v>262</v>
      </c>
      <c r="I55" s="586">
        <f t="shared" ref="I55:I58" si="99">SUM(J55:M55)</f>
        <v>1551132</v>
      </c>
      <c r="J55" s="490">
        <v>1150692</v>
      </c>
      <c r="K55" s="431">
        <f>ROUND(J55*33.8%,0)-1</f>
        <v>388933</v>
      </c>
      <c r="L55" s="431">
        <f t="shared" ref="L55:L58" si="100">ROUND(J55*1%,0)</f>
        <v>11507</v>
      </c>
      <c r="M55" s="325">
        <v>0</v>
      </c>
      <c r="N55" s="752">
        <v>1.9355</v>
      </c>
      <c r="O55" s="327">
        <f t="shared" ref="O55:O58" si="101">V55*-1</f>
        <v>-10800</v>
      </c>
      <c r="P55" s="492">
        <v>0</v>
      </c>
      <c r="Q55" s="325">
        <v>0</v>
      </c>
      <c r="R55" s="325">
        <v>0</v>
      </c>
      <c r="S55" s="325">
        <v>0</v>
      </c>
      <c r="T55" s="325">
        <v>0</v>
      </c>
      <c r="U55" s="492">
        <f>O55+P55+Q55+R55+S55+T55</f>
        <v>-10800</v>
      </c>
      <c r="V55" s="325">
        <v>10800</v>
      </c>
      <c r="W55" s="325">
        <v>0</v>
      </c>
      <c r="X55" s="325">
        <v>0</v>
      </c>
      <c r="Y55" s="492">
        <f t="shared" ref="Y55:Y58" si="102">V55+W55+X55</f>
        <v>10800</v>
      </c>
      <c r="Z55" s="492">
        <f t="shared" ref="Z55:Z58" si="103">U55+Y55</f>
        <v>0</v>
      </c>
      <c r="AA55" s="494">
        <f t="shared" ref="AA55:AA58" si="104">ROUND((U55+Y55)*33.8%,0)</f>
        <v>0</v>
      </c>
      <c r="AB55" s="494">
        <f t="shared" ref="AB55:AB58" si="105">ROUND(U55*1%,0)</f>
        <v>-108</v>
      </c>
      <c r="AC55" s="492">
        <v>0</v>
      </c>
      <c r="AD55" s="789">
        <f t="shared" ref="AD55:AD58" si="106">Z55+AA55+AB55+AC55</f>
        <v>-108</v>
      </c>
      <c r="AE55" s="715">
        <v>0</v>
      </c>
      <c r="AF55" s="491">
        <v>0</v>
      </c>
      <c r="AG55" s="326">
        <v>0</v>
      </c>
      <c r="AH55" s="326">
        <v>0</v>
      </c>
      <c r="AI55" s="326">
        <v>0</v>
      </c>
      <c r="AJ55" s="326">
        <v>0</v>
      </c>
      <c r="AK55" s="626">
        <f>SUM(AE55:AJ55)</f>
        <v>0</v>
      </c>
      <c r="AL55" s="696">
        <f>I55+AD55</f>
        <v>1551024</v>
      </c>
      <c r="AM55" s="492">
        <f>J55+U55</f>
        <v>1139892</v>
      </c>
      <c r="AN55" s="492">
        <f>Y55</f>
        <v>10800</v>
      </c>
      <c r="AO55" s="492">
        <f t="shared" ref="AO55:AQ58" si="107">K55+AA55</f>
        <v>388933</v>
      </c>
      <c r="AP55" s="492">
        <f t="shared" si="107"/>
        <v>11399</v>
      </c>
      <c r="AQ55" s="492">
        <f t="shared" si="107"/>
        <v>0</v>
      </c>
      <c r="AR55" s="626">
        <f>N55+AK55</f>
        <v>1.9355</v>
      </c>
    </row>
    <row r="56" spans="1:44" ht="12.95" customHeight="1" x14ac:dyDescent="0.25">
      <c r="A56" s="205">
        <v>13</v>
      </c>
      <c r="B56" s="206">
        <v>4450</v>
      </c>
      <c r="C56" s="206">
        <v>650033841</v>
      </c>
      <c r="D56" s="206">
        <v>72744995</v>
      </c>
      <c r="E56" s="208" t="s">
        <v>317</v>
      </c>
      <c r="F56" s="206">
        <v>3117</v>
      </c>
      <c r="G56" s="209" t="s">
        <v>294</v>
      </c>
      <c r="H56" s="209" t="s">
        <v>262</v>
      </c>
      <c r="I56" s="586">
        <f t="shared" si="99"/>
        <v>3149314</v>
      </c>
      <c r="J56" s="490">
        <v>2336286</v>
      </c>
      <c r="K56" s="431">
        <f t="shared" ref="K56:K58" si="108">ROUND(J56*33.8%,0)</f>
        <v>789665</v>
      </c>
      <c r="L56" s="431">
        <f t="shared" si="100"/>
        <v>23363</v>
      </c>
      <c r="M56" s="325">
        <v>0</v>
      </c>
      <c r="N56" s="752">
        <v>3.5909</v>
      </c>
      <c r="O56" s="327">
        <f t="shared" si="101"/>
        <v>-4200</v>
      </c>
      <c r="P56" s="492">
        <v>0</v>
      </c>
      <c r="Q56" s="325">
        <v>0</v>
      </c>
      <c r="R56" s="325">
        <v>0</v>
      </c>
      <c r="S56" s="325">
        <v>0</v>
      </c>
      <c r="T56" s="325">
        <v>0</v>
      </c>
      <c r="U56" s="492">
        <f>O56+P56+Q56+R56+S56+T56</f>
        <v>-4200</v>
      </c>
      <c r="V56" s="325">
        <v>4200</v>
      </c>
      <c r="W56" s="325">
        <v>0</v>
      </c>
      <c r="X56" s="325">
        <v>0</v>
      </c>
      <c r="Y56" s="492">
        <f t="shared" si="102"/>
        <v>4200</v>
      </c>
      <c r="Z56" s="492">
        <f t="shared" si="103"/>
        <v>0</v>
      </c>
      <c r="AA56" s="494">
        <f t="shared" si="104"/>
        <v>0</v>
      </c>
      <c r="AB56" s="494">
        <f t="shared" si="105"/>
        <v>-42</v>
      </c>
      <c r="AC56" s="492">
        <v>0</v>
      </c>
      <c r="AD56" s="789">
        <f t="shared" si="106"/>
        <v>-42</v>
      </c>
      <c r="AE56" s="715">
        <v>0</v>
      </c>
      <c r="AF56" s="491">
        <v>0</v>
      </c>
      <c r="AG56" s="326">
        <v>0</v>
      </c>
      <c r="AH56" s="326">
        <v>0</v>
      </c>
      <c r="AI56" s="326">
        <v>0</v>
      </c>
      <c r="AJ56" s="326">
        <v>0</v>
      </c>
      <c r="AK56" s="626">
        <f>SUM(AE56:AJ56)</f>
        <v>0</v>
      </c>
      <c r="AL56" s="696">
        <f>I56+AD56</f>
        <v>3149272</v>
      </c>
      <c r="AM56" s="492">
        <f>J56+U56</f>
        <v>2332086</v>
      </c>
      <c r="AN56" s="492">
        <f>Y56</f>
        <v>4200</v>
      </c>
      <c r="AO56" s="492">
        <f t="shared" si="107"/>
        <v>789665</v>
      </c>
      <c r="AP56" s="492">
        <f t="shared" si="107"/>
        <v>23321</v>
      </c>
      <c r="AQ56" s="492">
        <f t="shared" si="107"/>
        <v>0</v>
      </c>
      <c r="AR56" s="626">
        <f>N56+AK56</f>
        <v>3.5909</v>
      </c>
    </row>
    <row r="57" spans="1:44" ht="12.95" customHeight="1" x14ac:dyDescent="0.25">
      <c r="A57" s="205">
        <v>13</v>
      </c>
      <c r="B57" s="206">
        <v>4450</v>
      </c>
      <c r="C57" s="206">
        <v>650033841</v>
      </c>
      <c r="D57" s="206">
        <v>72744995</v>
      </c>
      <c r="E57" s="208" t="s">
        <v>317</v>
      </c>
      <c r="F57" s="206">
        <v>3117</v>
      </c>
      <c r="G57" s="209" t="s">
        <v>284</v>
      </c>
      <c r="H57" s="209" t="s">
        <v>263</v>
      </c>
      <c r="I57" s="586">
        <f t="shared" si="99"/>
        <v>0</v>
      </c>
      <c r="J57" s="490"/>
      <c r="K57" s="431">
        <f t="shared" si="108"/>
        <v>0</v>
      </c>
      <c r="L57" s="431">
        <f t="shared" si="100"/>
        <v>0</v>
      </c>
      <c r="M57" s="325">
        <v>0</v>
      </c>
      <c r="N57" s="752"/>
      <c r="O57" s="327">
        <f t="shared" si="101"/>
        <v>0</v>
      </c>
      <c r="P57" s="492">
        <f>198424</f>
        <v>198424</v>
      </c>
      <c r="Q57" s="325">
        <v>0</v>
      </c>
      <c r="R57" s="325">
        <v>0</v>
      </c>
      <c r="S57" s="325">
        <v>0</v>
      </c>
      <c r="T57" s="325">
        <v>0</v>
      </c>
      <c r="U57" s="492">
        <f>O57+P57+Q57+R57+S57+T57</f>
        <v>198424</v>
      </c>
      <c r="V57" s="325">
        <v>0</v>
      </c>
      <c r="W57" s="325">
        <v>0</v>
      </c>
      <c r="X57" s="325">
        <v>0</v>
      </c>
      <c r="Y57" s="492">
        <f t="shared" si="102"/>
        <v>0</v>
      </c>
      <c r="Z57" s="492">
        <f t="shared" si="103"/>
        <v>198424</v>
      </c>
      <c r="AA57" s="494">
        <f t="shared" si="104"/>
        <v>67067</v>
      </c>
      <c r="AB57" s="494">
        <f t="shared" si="105"/>
        <v>1984</v>
      </c>
      <c r="AC57" s="492">
        <v>0</v>
      </c>
      <c r="AD57" s="789">
        <f t="shared" si="106"/>
        <v>267475</v>
      </c>
      <c r="AE57" s="715">
        <v>0</v>
      </c>
      <c r="AF57" s="491">
        <f>0.5</f>
        <v>0.5</v>
      </c>
      <c r="AG57" s="326">
        <v>0</v>
      </c>
      <c r="AH57" s="326">
        <v>0</v>
      </c>
      <c r="AI57" s="326">
        <v>0</v>
      </c>
      <c r="AJ57" s="326">
        <v>0</v>
      </c>
      <c r="AK57" s="626">
        <f>SUM(AE57:AJ57)</f>
        <v>0.5</v>
      </c>
      <c r="AL57" s="696">
        <f>I57+AD57</f>
        <v>267475</v>
      </c>
      <c r="AM57" s="492">
        <f>J57+U57</f>
        <v>198424</v>
      </c>
      <c r="AN57" s="492">
        <f>Y57</f>
        <v>0</v>
      </c>
      <c r="AO57" s="492">
        <f t="shared" si="107"/>
        <v>67067</v>
      </c>
      <c r="AP57" s="492">
        <f t="shared" si="107"/>
        <v>1984</v>
      </c>
      <c r="AQ57" s="492">
        <f t="shared" si="107"/>
        <v>0</v>
      </c>
      <c r="AR57" s="626">
        <f>N57+AK57</f>
        <v>0.5</v>
      </c>
    </row>
    <row r="58" spans="1:44" ht="12.95" customHeight="1" x14ac:dyDescent="0.25">
      <c r="A58" s="205">
        <v>13</v>
      </c>
      <c r="B58" s="206">
        <v>4450</v>
      </c>
      <c r="C58" s="206">
        <v>650033841</v>
      </c>
      <c r="D58" s="206">
        <v>72744995</v>
      </c>
      <c r="E58" s="208" t="s">
        <v>317</v>
      </c>
      <c r="F58" s="206">
        <v>3143</v>
      </c>
      <c r="G58" s="209" t="s">
        <v>795</v>
      </c>
      <c r="H58" s="209" t="s">
        <v>262</v>
      </c>
      <c r="I58" s="586">
        <f t="shared" si="99"/>
        <v>450351</v>
      </c>
      <c r="J58" s="490">
        <v>334088</v>
      </c>
      <c r="K58" s="431">
        <f t="shared" si="108"/>
        <v>112922</v>
      </c>
      <c r="L58" s="431">
        <f t="shared" si="100"/>
        <v>3341</v>
      </c>
      <c r="M58" s="325">
        <v>0</v>
      </c>
      <c r="N58" s="752">
        <v>0.66659999999999997</v>
      </c>
      <c r="O58" s="327">
        <f t="shared" si="101"/>
        <v>0</v>
      </c>
      <c r="P58" s="492">
        <v>0</v>
      </c>
      <c r="Q58" s="325">
        <v>0</v>
      </c>
      <c r="R58" s="325">
        <v>0</v>
      </c>
      <c r="S58" s="325">
        <v>0</v>
      </c>
      <c r="T58" s="325">
        <v>0</v>
      </c>
      <c r="U58" s="492">
        <f>O58+P58+Q58+R58+S58+T58</f>
        <v>0</v>
      </c>
      <c r="V58" s="325">
        <v>0</v>
      </c>
      <c r="W58" s="325">
        <v>0</v>
      </c>
      <c r="X58" s="325">
        <v>0</v>
      </c>
      <c r="Y58" s="492">
        <f t="shared" si="102"/>
        <v>0</v>
      </c>
      <c r="Z58" s="492">
        <f t="shared" si="103"/>
        <v>0</v>
      </c>
      <c r="AA58" s="494">
        <f t="shared" si="104"/>
        <v>0</v>
      </c>
      <c r="AB58" s="494">
        <f t="shared" si="105"/>
        <v>0</v>
      </c>
      <c r="AC58" s="492">
        <v>0</v>
      </c>
      <c r="AD58" s="789">
        <f t="shared" si="106"/>
        <v>0</v>
      </c>
      <c r="AE58" s="715">
        <v>0</v>
      </c>
      <c r="AF58" s="491">
        <v>0</v>
      </c>
      <c r="AG58" s="326">
        <v>0</v>
      </c>
      <c r="AH58" s="326">
        <v>0</v>
      </c>
      <c r="AI58" s="326">
        <v>0</v>
      </c>
      <c r="AJ58" s="326">
        <v>0</v>
      </c>
      <c r="AK58" s="626">
        <f>SUM(AE58:AJ58)</f>
        <v>0</v>
      </c>
      <c r="AL58" s="696">
        <f>I58+AD58</f>
        <v>450351</v>
      </c>
      <c r="AM58" s="492">
        <f>J58+U58</f>
        <v>334088</v>
      </c>
      <c r="AN58" s="492">
        <f>Y58</f>
        <v>0</v>
      </c>
      <c r="AO58" s="492">
        <f t="shared" si="107"/>
        <v>112922</v>
      </c>
      <c r="AP58" s="492">
        <f t="shared" si="107"/>
        <v>3341</v>
      </c>
      <c r="AQ58" s="492">
        <f t="shared" si="107"/>
        <v>0</v>
      </c>
      <c r="AR58" s="626">
        <f>N58+AK58</f>
        <v>0.66659999999999997</v>
      </c>
    </row>
    <row r="59" spans="1:44" ht="12.95" customHeight="1" x14ac:dyDescent="0.25">
      <c r="A59" s="198">
        <v>13</v>
      </c>
      <c r="B59" s="200">
        <v>4450</v>
      </c>
      <c r="C59" s="200">
        <v>650033841</v>
      </c>
      <c r="D59" s="200">
        <v>72744995</v>
      </c>
      <c r="E59" s="213" t="s">
        <v>319</v>
      </c>
      <c r="F59" s="216"/>
      <c r="G59" s="217"/>
      <c r="H59" s="217"/>
      <c r="I59" s="688">
        <f t="shared" ref="I59:AR59" si="109">SUM(I55:I58)</f>
        <v>5150797</v>
      </c>
      <c r="J59" s="353">
        <f t="shared" si="109"/>
        <v>3821066</v>
      </c>
      <c r="K59" s="353">
        <f t="shared" si="109"/>
        <v>1291520</v>
      </c>
      <c r="L59" s="353">
        <f t="shared" si="109"/>
        <v>38211</v>
      </c>
      <c r="M59" s="353">
        <f t="shared" ref="M59" si="110">SUM(M55:M58)</f>
        <v>0</v>
      </c>
      <c r="N59" s="817">
        <f t="shared" si="109"/>
        <v>6.1929999999999996</v>
      </c>
      <c r="O59" s="688">
        <f t="shared" si="109"/>
        <v>-15000</v>
      </c>
      <c r="P59" s="353">
        <f t="shared" si="109"/>
        <v>198424</v>
      </c>
      <c r="Q59" s="353">
        <f t="shared" si="109"/>
        <v>0</v>
      </c>
      <c r="R59" s="353">
        <f t="shared" si="109"/>
        <v>0</v>
      </c>
      <c r="S59" s="353">
        <f t="shared" si="109"/>
        <v>0</v>
      </c>
      <c r="T59" s="353">
        <f t="shared" si="109"/>
        <v>0</v>
      </c>
      <c r="U59" s="353">
        <f t="shared" si="109"/>
        <v>183424</v>
      </c>
      <c r="V59" s="353">
        <f t="shared" si="109"/>
        <v>15000</v>
      </c>
      <c r="W59" s="353">
        <f t="shared" si="109"/>
        <v>0</v>
      </c>
      <c r="X59" s="353">
        <f t="shared" si="109"/>
        <v>0</v>
      </c>
      <c r="Y59" s="353">
        <f t="shared" si="109"/>
        <v>15000</v>
      </c>
      <c r="Z59" s="353">
        <f t="shared" si="109"/>
        <v>198424</v>
      </c>
      <c r="AA59" s="353">
        <f t="shared" si="109"/>
        <v>67067</v>
      </c>
      <c r="AB59" s="353">
        <f t="shared" si="109"/>
        <v>1834</v>
      </c>
      <c r="AC59" s="353">
        <f t="shared" si="109"/>
        <v>0</v>
      </c>
      <c r="AD59" s="685">
        <f t="shared" si="109"/>
        <v>267325</v>
      </c>
      <c r="AE59" s="830">
        <v>0</v>
      </c>
      <c r="AF59" s="354">
        <f t="shared" si="109"/>
        <v>0.5</v>
      </c>
      <c r="AG59" s="354">
        <f t="shared" si="109"/>
        <v>0</v>
      </c>
      <c r="AH59" s="354">
        <f t="shared" si="109"/>
        <v>0</v>
      </c>
      <c r="AI59" s="354">
        <f t="shared" si="109"/>
        <v>0</v>
      </c>
      <c r="AJ59" s="354">
        <f t="shared" si="109"/>
        <v>0</v>
      </c>
      <c r="AK59" s="215">
        <f t="shared" si="109"/>
        <v>0.5</v>
      </c>
      <c r="AL59" s="688">
        <f t="shared" si="109"/>
        <v>5418122</v>
      </c>
      <c r="AM59" s="353">
        <f t="shared" si="109"/>
        <v>4004490</v>
      </c>
      <c r="AN59" s="353">
        <f t="shared" si="109"/>
        <v>15000</v>
      </c>
      <c r="AO59" s="353">
        <f t="shared" si="109"/>
        <v>1358587</v>
      </c>
      <c r="AP59" s="353">
        <f t="shared" si="109"/>
        <v>40045</v>
      </c>
      <c r="AQ59" s="353">
        <f t="shared" si="109"/>
        <v>0</v>
      </c>
      <c r="AR59" s="215">
        <f t="shared" si="109"/>
        <v>6.6929999999999996</v>
      </c>
    </row>
    <row r="60" spans="1:44" ht="12.95" customHeight="1" x14ac:dyDescent="0.25">
      <c r="A60" s="205">
        <v>14</v>
      </c>
      <c r="B60" s="206">
        <v>4430</v>
      </c>
      <c r="C60" s="206">
        <v>600074862</v>
      </c>
      <c r="D60" s="206">
        <v>70695024</v>
      </c>
      <c r="E60" s="208" t="s">
        <v>320</v>
      </c>
      <c r="F60" s="206">
        <v>3111</v>
      </c>
      <c r="G60" s="209" t="s">
        <v>318</v>
      </c>
      <c r="H60" s="209" t="s">
        <v>262</v>
      </c>
      <c r="I60" s="586">
        <f t="shared" ref="I60:I63" si="111">SUM(J60:M60)</f>
        <v>1566147</v>
      </c>
      <c r="J60" s="490">
        <v>1161830</v>
      </c>
      <c r="K60" s="431">
        <f t="shared" ref="K60:K63" si="112">ROUND(J60*33.8%,0)</f>
        <v>392699</v>
      </c>
      <c r="L60" s="431">
        <f t="shared" ref="L60:L63" si="113">ROUND(J60*1%,0)</f>
        <v>11618</v>
      </c>
      <c r="M60" s="325">
        <v>0</v>
      </c>
      <c r="N60" s="752">
        <v>2</v>
      </c>
      <c r="O60" s="327">
        <f t="shared" ref="O60:O63" si="114">V60*-1</f>
        <v>0</v>
      </c>
      <c r="P60" s="492">
        <v>0</v>
      </c>
      <c r="Q60" s="325">
        <v>0</v>
      </c>
      <c r="R60" s="325">
        <v>0</v>
      </c>
      <c r="S60" s="325">
        <v>0</v>
      </c>
      <c r="T60" s="325">
        <v>0</v>
      </c>
      <c r="U60" s="492">
        <f>O60+P60+Q60+R60+S60+T60</f>
        <v>0</v>
      </c>
      <c r="V60" s="325">
        <v>0</v>
      </c>
      <c r="W60" s="325">
        <v>0</v>
      </c>
      <c r="X60" s="325">
        <v>0</v>
      </c>
      <c r="Y60" s="492">
        <f t="shared" ref="Y60:Y63" si="115">V60+W60+X60</f>
        <v>0</v>
      </c>
      <c r="Z60" s="492">
        <f t="shared" ref="Z60:Z63" si="116">U60+Y60</f>
        <v>0</v>
      </c>
      <c r="AA60" s="494">
        <f t="shared" ref="AA60:AA63" si="117">ROUND((U60+Y60)*33.8%,0)</f>
        <v>0</v>
      </c>
      <c r="AB60" s="494">
        <f t="shared" ref="AB60:AB63" si="118">ROUND(U60*1%,0)</f>
        <v>0</v>
      </c>
      <c r="AC60" s="492">
        <v>0</v>
      </c>
      <c r="AD60" s="789">
        <f t="shared" ref="AD60:AD63" si="119">Z60+AA60+AB60+AC60</f>
        <v>0</v>
      </c>
      <c r="AE60" s="715">
        <v>0</v>
      </c>
      <c r="AF60" s="491">
        <v>0</v>
      </c>
      <c r="AG60" s="326">
        <v>0</v>
      </c>
      <c r="AH60" s="326">
        <v>0</v>
      </c>
      <c r="AI60" s="326">
        <v>0</v>
      </c>
      <c r="AJ60" s="326">
        <v>0</v>
      </c>
      <c r="AK60" s="626">
        <f>SUM(AE60:AJ60)</f>
        <v>0</v>
      </c>
      <c r="AL60" s="696">
        <f>I60+AD60</f>
        <v>1566147</v>
      </c>
      <c r="AM60" s="492">
        <f>J60+U60</f>
        <v>1161830</v>
      </c>
      <c r="AN60" s="492">
        <f>Y60</f>
        <v>0</v>
      </c>
      <c r="AO60" s="492">
        <f t="shared" ref="AO60:AQ63" si="120">K60+AA60</f>
        <v>392699</v>
      </c>
      <c r="AP60" s="492">
        <f t="shared" si="120"/>
        <v>11618</v>
      </c>
      <c r="AQ60" s="492">
        <f t="shared" si="120"/>
        <v>0</v>
      </c>
      <c r="AR60" s="626">
        <f>N60+AK60</f>
        <v>2</v>
      </c>
    </row>
    <row r="61" spans="1:44" ht="12.95" customHeight="1" x14ac:dyDescent="0.25">
      <c r="A61" s="205">
        <v>14</v>
      </c>
      <c r="B61" s="206">
        <v>4430</v>
      </c>
      <c r="C61" s="206">
        <v>600074862</v>
      </c>
      <c r="D61" s="206">
        <v>70695024</v>
      </c>
      <c r="E61" s="208" t="s">
        <v>320</v>
      </c>
      <c r="F61" s="206">
        <v>3117</v>
      </c>
      <c r="G61" s="209" t="s">
        <v>280</v>
      </c>
      <c r="H61" s="209" t="s">
        <v>262</v>
      </c>
      <c r="I61" s="586">
        <f t="shared" si="111"/>
        <v>2448186</v>
      </c>
      <c r="J61" s="490">
        <v>1816162</v>
      </c>
      <c r="K61" s="431">
        <f>ROUND(J61*33.8%,0)-1</f>
        <v>613862</v>
      </c>
      <c r="L61" s="431">
        <f t="shared" si="113"/>
        <v>18162</v>
      </c>
      <c r="M61" s="325">
        <v>0</v>
      </c>
      <c r="N61" s="752">
        <v>2.8929</v>
      </c>
      <c r="O61" s="327">
        <f t="shared" si="114"/>
        <v>0</v>
      </c>
      <c r="P61" s="492">
        <v>0</v>
      </c>
      <c r="Q61" s="325">
        <v>0</v>
      </c>
      <c r="R61" s="325">
        <v>0</v>
      </c>
      <c r="S61" s="325">
        <v>0</v>
      </c>
      <c r="T61" s="325">
        <v>0</v>
      </c>
      <c r="U61" s="492">
        <f>O61+P61+Q61+R61+S61+T61</f>
        <v>0</v>
      </c>
      <c r="V61" s="325">
        <v>0</v>
      </c>
      <c r="W61" s="325">
        <v>0</v>
      </c>
      <c r="X61" s="325">
        <v>0</v>
      </c>
      <c r="Y61" s="492">
        <f t="shared" si="115"/>
        <v>0</v>
      </c>
      <c r="Z61" s="492">
        <f t="shared" si="116"/>
        <v>0</v>
      </c>
      <c r="AA61" s="494">
        <f t="shared" si="117"/>
        <v>0</v>
      </c>
      <c r="AB61" s="494">
        <f t="shared" si="118"/>
        <v>0</v>
      </c>
      <c r="AC61" s="492">
        <v>0</v>
      </c>
      <c r="AD61" s="789">
        <f t="shared" si="119"/>
        <v>0</v>
      </c>
      <c r="AE61" s="715">
        <v>0</v>
      </c>
      <c r="AF61" s="491">
        <v>0</v>
      </c>
      <c r="AG61" s="326">
        <v>0</v>
      </c>
      <c r="AH61" s="326">
        <v>0</v>
      </c>
      <c r="AI61" s="326">
        <v>0</v>
      </c>
      <c r="AJ61" s="326">
        <v>0</v>
      </c>
      <c r="AK61" s="626">
        <f>SUM(AE61:AJ61)</f>
        <v>0</v>
      </c>
      <c r="AL61" s="696">
        <f>I61+AD61</f>
        <v>2448186</v>
      </c>
      <c r="AM61" s="492">
        <f>J61+U61</f>
        <v>1816162</v>
      </c>
      <c r="AN61" s="492">
        <f>Y61</f>
        <v>0</v>
      </c>
      <c r="AO61" s="492">
        <f t="shared" si="120"/>
        <v>613862</v>
      </c>
      <c r="AP61" s="492">
        <f t="shared" si="120"/>
        <v>18162</v>
      </c>
      <c r="AQ61" s="492">
        <f t="shared" si="120"/>
        <v>0</v>
      </c>
      <c r="AR61" s="626">
        <f>N61+AK61</f>
        <v>2.8929</v>
      </c>
    </row>
    <row r="62" spans="1:44" ht="12.95" customHeight="1" x14ac:dyDescent="0.25">
      <c r="A62" s="205">
        <v>14</v>
      </c>
      <c r="B62" s="206">
        <v>4430</v>
      </c>
      <c r="C62" s="206">
        <v>600074862</v>
      </c>
      <c r="D62" s="206">
        <v>70695024</v>
      </c>
      <c r="E62" s="208" t="s">
        <v>320</v>
      </c>
      <c r="F62" s="206">
        <v>3117</v>
      </c>
      <c r="G62" s="209" t="s">
        <v>284</v>
      </c>
      <c r="H62" s="209" t="s">
        <v>263</v>
      </c>
      <c r="I62" s="586">
        <f t="shared" si="111"/>
        <v>0</v>
      </c>
      <c r="J62" s="490"/>
      <c r="K62" s="431">
        <f t="shared" si="112"/>
        <v>0</v>
      </c>
      <c r="L62" s="431">
        <f t="shared" si="113"/>
        <v>0</v>
      </c>
      <c r="M62" s="325">
        <v>0</v>
      </c>
      <c r="N62" s="752"/>
      <c r="O62" s="327">
        <f t="shared" si="114"/>
        <v>0</v>
      </c>
      <c r="P62" s="492">
        <v>154334</v>
      </c>
      <c r="Q62" s="325">
        <v>0</v>
      </c>
      <c r="R62" s="325">
        <v>0</v>
      </c>
      <c r="S62" s="325">
        <v>0</v>
      </c>
      <c r="T62" s="325">
        <v>0</v>
      </c>
      <c r="U62" s="492">
        <f>O62+P62+Q62+R62+S62+T62</f>
        <v>154334</v>
      </c>
      <c r="V62" s="325">
        <v>0</v>
      </c>
      <c r="W62" s="325">
        <v>0</v>
      </c>
      <c r="X62" s="325">
        <v>0</v>
      </c>
      <c r="Y62" s="492">
        <f t="shared" si="115"/>
        <v>0</v>
      </c>
      <c r="Z62" s="492">
        <f t="shared" si="116"/>
        <v>154334</v>
      </c>
      <c r="AA62" s="494">
        <f t="shared" si="117"/>
        <v>52165</v>
      </c>
      <c r="AB62" s="494">
        <f t="shared" si="118"/>
        <v>1543</v>
      </c>
      <c r="AC62" s="492">
        <v>0</v>
      </c>
      <c r="AD62" s="789">
        <f t="shared" si="119"/>
        <v>208042</v>
      </c>
      <c r="AE62" s="715">
        <v>0</v>
      </c>
      <c r="AF62" s="491">
        <v>0.39</v>
      </c>
      <c r="AG62" s="326">
        <v>0</v>
      </c>
      <c r="AH62" s="326">
        <v>0</v>
      </c>
      <c r="AI62" s="326">
        <v>0</v>
      </c>
      <c r="AJ62" s="326">
        <v>0</v>
      </c>
      <c r="AK62" s="626">
        <f>SUM(AE62:AJ62)</f>
        <v>0.39</v>
      </c>
      <c r="AL62" s="696">
        <f>I62+AD62</f>
        <v>208042</v>
      </c>
      <c r="AM62" s="492">
        <f>J62+U62</f>
        <v>154334</v>
      </c>
      <c r="AN62" s="492">
        <f>Y62</f>
        <v>0</v>
      </c>
      <c r="AO62" s="492">
        <f t="shared" si="120"/>
        <v>52165</v>
      </c>
      <c r="AP62" s="492">
        <f t="shared" si="120"/>
        <v>1543</v>
      </c>
      <c r="AQ62" s="492">
        <f t="shared" si="120"/>
        <v>0</v>
      </c>
      <c r="AR62" s="626">
        <f>N62+AK62</f>
        <v>0.39</v>
      </c>
    </row>
    <row r="63" spans="1:44" ht="12.95" customHeight="1" x14ac:dyDescent="0.25">
      <c r="A63" s="205">
        <v>14</v>
      </c>
      <c r="B63" s="206">
        <v>4430</v>
      </c>
      <c r="C63" s="206">
        <v>600074862</v>
      </c>
      <c r="D63" s="206">
        <v>70695024</v>
      </c>
      <c r="E63" s="208" t="s">
        <v>320</v>
      </c>
      <c r="F63" s="206">
        <v>3143</v>
      </c>
      <c r="G63" s="209" t="s">
        <v>795</v>
      </c>
      <c r="H63" s="209" t="s">
        <v>262</v>
      </c>
      <c r="I63" s="586">
        <f t="shared" si="111"/>
        <v>664136</v>
      </c>
      <c r="J63" s="490">
        <v>492682</v>
      </c>
      <c r="K63" s="431">
        <f t="shared" si="112"/>
        <v>166527</v>
      </c>
      <c r="L63" s="431">
        <f t="shared" si="113"/>
        <v>4927</v>
      </c>
      <c r="M63" s="325">
        <v>0</v>
      </c>
      <c r="N63" s="752">
        <v>1</v>
      </c>
      <c r="O63" s="327">
        <f t="shared" si="114"/>
        <v>0</v>
      </c>
      <c r="P63" s="492">
        <v>0</v>
      </c>
      <c r="Q63" s="325">
        <v>0</v>
      </c>
      <c r="R63" s="325">
        <v>0</v>
      </c>
      <c r="S63" s="325">
        <v>0</v>
      </c>
      <c r="T63" s="325">
        <v>0</v>
      </c>
      <c r="U63" s="492">
        <f>O63+P63+Q63+R63+S63+T63</f>
        <v>0</v>
      </c>
      <c r="V63" s="325">
        <v>0</v>
      </c>
      <c r="W63" s="325">
        <v>0</v>
      </c>
      <c r="X63" s="325">
        <v>0</v>
      </c>
      <c r="Y63" s="492">
        <f t="shared" si="115"/>
        <v>0</v>
      </c>
      <c r="Z63" s="492">
        <f t="shared" si="116"/>
        <v>0</v>
      </c>
      <c r="AA63" s="494">
        <f t="shared" si="117"/>
        <v>0</v>
      </c>
      <c r="AB63" s="494">
        <f t="shared" si="118"/>
        <v>0</v>
      </c>
      <c r="AC63" s="492">
        <v>0</v>
      </c>
      <c r="AD63" s="789">
        <f t="shared" si="119"/>
        <v>0</v>
      </c>
      <c r="AE63" s="715">
        <v>0</v>
      </c>
      <c r="AF63" s="491">
        <v>0</v>
      </c>
      <c r="AG63" s="326">
        <v>0</v>
      </c>
      <c r="AH63" s="326">
        <v>0</v>
      </c>
      <c r="AI63" s="326">
        <v>0</v>
      </c>
      <c r="AJ63" s="326">
        <v>0</v>
      </c>
      <c r="AK63" s="626">
        <f>SUM(AE63:AJ63)</f>
        <v>0</v>
      </c>
      <c r="AL63" s="696">
        <f>I63+AD63</f>
        <v>664136</v>
      </c>
      <c r="AM63" s="492">
        <f>J63+U63</f>
        <v>492682</v>
      </c>
      <c r="AN63" s="492">
        <f>Y63</f>
        <v>0</v>
      </c>
      <c r="AO63" s="492">
        <f t="shared" si="120"/>
        <v>166527</v>
      </c>
      <c r="AP63" s="492">
        <f t="shared" si="120"/>
        <v>4927</v>
      </c>
      <c r="AQ63" s="492">
        <f t="shared" si="120"/>
        <v>0</v>
      </c>
      <c r="AR63" s="626">
        <f>N63+AK63</f>
        <v>1</v>
      </c>
    </row>
    <row r="64" spans="1:44" ht="12.95" customHeight="1" x14ac:dyDescent="0.25">
      <c r="A64" s="198">
        <v>14</v>
      </c>
      <c r="B64" s="200">
        <v>4430</v>
      </c>
      <c r="C64" s="200">
        <v>600074862</v>
      </c>
      <c r="D64" s="200">
        <v>70695024</v>
      </c>
      <c r="E64" s="213" t="s">
        <v>321</v>
      </c>
      <c r="F64" s="216"/>
      <c r="G64" s="217"/>
      <c r="H64" s="217"/>
      <c r="I64" s="688">
        <f t="shared" ref="I64:AR64" si="121">SUM(I60:I63)</f>
        <v>4678469</v>
      </c>
      <c r="J64" s="353">
        <f t="shared" si="121"/>
        <v>3470674</v>
      </c>
      <c r="K64" s="353">
        <f t="shared" si="121"/>
        <v>1173088</v>
      </c>
      <c r="L64" s="353">
        <f t="shared" si="121"/>
        <v>34707</v>
      </c>
      <c r="M64" s="353">
        <f t="shared" ref="M64" si="122">SUM(M60:M63)</f>
        <v>0</v>
      </c>
      <c r="N64" s="817">
        <f t="shared" si="121"/>
        <v>5.8929</v>
      </c>
      <c r="O64" s="688">
        <f t="shared" si="121"/>
        <v>0</v>
      </c>
      <c r="P64" s="353">
        <f t="shared" si="121"/>
        <v>154334</v>
      </c>
      <c r="Q64" s="353">
        <f t="shared" si="121"/>
        <v>0</v>
      </c>
      <c r="R64" s="353">
        <f t="shared" si="121"/>
        <v>0</v>
      </c>
      <c r="S64" s="353">
        <f t="shared" si="121"/>
        <v>0</v>
      </c>
      <c r="T64" s="353">
        <f t="shared" si="121"/>
        <v>0</v>
      </c>
      <c r="U64" s="353">
        <f t="shared" si="121"/>
        <v>154334</v>
      </c>
      <c r="V64" s="353">
        <f t="shared" si="121"/>
        <v>0</v>
      </c>
      <c r="W64" s="353">
        <f t="shared" si="121"/>
        <v>0</v>
      </c>
      <c r="X64" s="353">
        <f t="shared" si="121"/>
        <v>0</v>
      </c>
      <c r="Y64" s="353">
        <f t="shared" si="121"/>
        <v>0</v>
      </c>
      <c r="Z64" s="353">
        <f t="shared" si="121"/>
        <v>154334</v>
      </c>
      <c r="AA64" s="353">
        <f t="shared" si="121"/>
        <v>52165</v>
      </c>
      <c r="AB64" s="353">
        <f t="shared" si="121"/>
        <v>1543</v>
      </c>
      <c r="AC64" s="353">
        <f t="shared" si="121"/>
        <v>0</v>
      </c>
      <c r="AD64" s="685">
        <f t="shared" si="121"/>
        <v>208042</v>
      </c>
      <c r="AE64" s="830">
        <v>0</v>
      </c>
      <c r="AF64" s="354">
        <f t="shared" si="121"/>
        <v>0.39</v>
      </c>
      <c r="AG64" s="354">
        <f t="shared" si="121"/>
        <v>0</v>
      </c>
      <c r="AH64" s="354">
        <f t="shared" si="121"/>
        <v>0</v>
      </c>
      <c r="AI64" s="354">
        <f t="shared" si="121"/>
        <v>0</v>
      </c>
      <c r="AJ64" s="354">
        <f t="shared" si="121"/>
        <v>0</v>
      </c>
      <c r="AK64" s="215">
        <f t="shared" si="121"/>
        <v>0.39</v>
      </c>
      <c r="AL64" s="688">
        <f t="shared" si="121"/>
        <v>4886511</v>
      </c>
      <c r="AM64" s="353">
        <f t="shared" si="121"/>
        <v>3625008</v>
      </c>
      <c r="AN64" s="353">
        <f t="shared" si="121"/>
        <v>0</v>
      </c>
      <c r="AO64" s="353">
        <f t="shared" si="121"/>
        <v>1225253</v>
      </c>
      <c r="AP64" s="353">
        <f t="shared" si="121"/>
        <v>36250</v>
      </c>
      <c r="AQ64" s="353">
        <f t="shared" si="121"/>
        <v>0</v>
      </c>
      <c r="AR64" s="215">
        <f t="shared" si="121"/>
        <v>6.2828999999999997</v>
      </c>
    </row>
    <row r="65" spans="1:44" ht="12.95" customHeight="1" x14ac:dyDescent="0.25">
      <c r="A65" s="205">
        <v>15</v>
      </c>
      <c r="B65" s="206">
        <v>4433</v>
      </c>
      <c r="C65" s="206">
        <v>600075001</v>
      </c>
      <c r="D65" s="206">
        <v>70695440</v>
      </c>
      <c r="E65" s="208" t="s">
        <v>322</v>
      </c>
      <c r="F65" s="206">
        <v>3111</v>
      </c>
      <c r="G65" s="209" t="s">
        <v>290</v>
      </c>
      <c r="H65" s="209" t="s">
        <v>262</v>
      </c>
      <c r="I65" s="586">
        <f t="shared" ref="I65:I68" si="123">SUM(J65:M65)</f>
        <v>1604703</v>
      </c>
      <c r="J65" s="490">
        <v>1190433</v>
      </c>
      <c r="K65" s="431">
        <f t="shared" ref="K65:K68" si="124">ROUND(J65*33.8%,0)</f>
        <v>402366</v>
      </c>
      <c r="L65" s="431">
        <f t="shared" ref="L65:L68" si="125">ROUND(J65*1%,0)</f>
        <v>11904</v>
      </c>
      <c r="M65" s="325">
        <v>0</v>
      </c>
      <c r="N65" s="752">
        <v>2</v>
      </c>
      <c r="O65" s="327">
        <f t="shared" ref="O65:O68" si="126">V65*-1</f>
        <v>0</v>
      </c>
      <c r="P65" s="492">
        <v>0</v>
      </c>
      <c r="Q65" s="325">
        <v>0</v>
      </c>
      <c r="R65" s="325">
        <v>0</v>
      </c>
      <c r="S65" s="325">
        <v>0</v>
      </c>
      <c r="T65" s="325">
        <v>0</v>
      </c>
      <c r="U65" s="492">
        <f>O65+P65+Q65+R65+S65+T65</f>
        <v>0</v>
      </c>
      <c r="V65" s="325">
        <v>0</v>
      </c>
      <c r="W65" s="325">
        <v>0</v>
      </c>
      <c r="X65" s="325">
        <v>0</v>
      </c>
      <c r="Y65" s="492">
        <f t="shared" ref="Y65:Y68" si="127">V65+W65+X65</f>
        <v>0</v>
      </c>
      <c r="Z65" s="492">
        <f t="shared" ref="Z65:Z68" si="128">U65+Y65</f>
        <v>0</v>
      </c>
      <c r="AA65" s="494">
        <f t="shared" ref="AA65:AA68" si="129">ROUND((U65+Y65)*33.8%,0)</f>
        <v>0</v>
      </c>
      <c r="AB65" s="494">
        <f t="shared" ref="AB65:AB68" si="130">ROUND(U65*1%,0)</f>
        <v>0</v>
      </c>
      <c r="AC65" s="492">
        <v>0</v>
      </c>
      <c r="AD65" s="789">
        <f t="shared" ref="AD65:AD68" si="131">Z65+AA65+AB65+AC65</f>
        <v>0</v>
      </c>
      <c r="AE65" s="715">
        <v>0</v>
      </c>
      <c r="AF65" s="491">
        <v>0</v>
      </c>
      <c r="AG65" s="326">
        <v>0</v>
      </c>
      <c r="AH65" s="326">
        <v>0</v>
      </c>
      <c r="AI65" s="326">
        <v>0</v>
      </c>
      <c r="AJ65" s="326">
        <v>0</v>
      </c>
      <c r="AK65" s="626">
        <f>SUM(AE65:AJ65)</f>
        <v>0</v>
      </c>
      <c r="AL65" s="696">
        <f>I65+AD65</f>
        <v>1604703</v>
      </c>
      <c r="AM65" s="492">
        <f>J65+U65</f>
        <v>1190433</v>
      </c>
      <c r="AN65" s="492">
        <f>Y65</f>
        <v>0</v>
      </c>
      <c r="AO65" s="492">
        <f t="shared" ref="AO65:AQ68" si="132">K65+AA65</f>
        <v>402366</v>
      </c>
      <c r="AP65" s="492">
        <f t="shared" si="132"/>
        <v>11904</v>
      </c>
      <c r="AQ65" s="492">
        <f t="shared" si="132"/>
        <v>0</v>
      </c>
      <c r="AR65" s="626">
        <f>N65+AK65</f>
        <v>2</v>
      </c>
    </row>
    <row r="66" spans="1:44" ht="12.95" customHeight="1" x14ac:dyDescent="0.25">
      <c r="A66" s="205">
        <v>15</v>
      </c>
      <c r="B66" s="206">
        <v>4433</v>
      </c>
      <c r="C66" s="206">
        <v>600075001</v>
      </c>
      <c r="D66" s="206">
        <v>70695440</v>
      </c>
      <c r="E66" s="208" t="s">
        <v>322</v>
      </c>
      <c r="F66" s="206">
        <v>3117</v>
      </c>
      <c r="G66" s="209" t="s">
        <v>294</v>
      </c>
      <c r="H66" s="209" t="s">
        <v>262</v>
      </c>
      <c r="I66" s="586">
        <f t="shared" si="123"/>
        <v>1392963</v>
      </c>
      <c r="J66" s="490">
        <v>1033355</v>
      </c>
      <c r="K66" s="431">
        <f t="shared" si="124"/>
        <v>349274</v>
      </c>
      <c r="L66" s="431">
        <f t="shared" si="125"/>
        <v>10334</v>
      </c>
      <c r="M66" s="325">
        <v>0</v>
      </c>
      <c r="N66" s="752">
        <v>1.5455000000000001</v>
      </c>
      <c r="O66" s="327">
        <f t="shared" si="126"/>
        <v>0</v>
      </c>
      <c r="P66" s="492">
        <v>0</v>
      </c>
      <c r="Q66" s="325">
        <v>0</v>
      </c>
      <c r="R66" s="325">
        <v>0</v>
      </c>
      <c r="S66" s="325">
        <v>0</v>
      </c>
      <c r="T66" s="325">
        <v>0</v>
      </c>
      <c r="U66" s="492">
        <f>O66+P66+Q66+R66+S66+T66</f>
        <v>0</v>
      </c>
      <c r="V66" s="325">
        <v>0</v>
      </c>
      <c r="W66" s="325">
        <v>0</v>
      </c>
      <c r="X66" s="325">
        <v>0</v>
      </c>
      <c r="Y66" s="492">
        <f t="shared" si="127"/>
        <v>0</v>
      </c>
      <c r="Z66" s="492">
        <f t="shared" si="128"/>
        <v>0</v>
      </c>
      <c r="AA66" s="494">
        <f t="shared" si="129"/>
        <v>0</v>
      </c>
      <c r="AB66" s="494">
        <f t="shared" si="130"/>
        <v>0</v>
      </c>
      <c r="AC66" s="492">
        <v>0</v>
      </c>
      <c r="AD66" s="789">
        <f t="shared" si="131"/>
        <v>0</v>
      </c>
      <c r="AE66" s="715">
        <v>0</v>
      </c>
      <c r="AF66" s="491">
        <v>0</v>
      </c>
      <c r="AG66" s="326">
        <v>0</v>
      </c>
      <c r="AH66" s="326">
        <v>0</v>
      </c>
      <c r="AI66" s="326">
        <v>0</v>
      </c>
      <c r="AJ66" s="326">
        <v>0</v>
      </c>
      <c r="AK66" s="626">
        <f>SUM(AE66:AJ66)</f>
        <v>0</v>
      </c>
      <c r="AL66" s="696">
        <f>I66+AD66</f>
        <v>1392963</v>
      </c>
      <c r="AM66" s="492">
        <f>J66+U66</f>
        <v>1033355</v>
      </c>
      <c r="AN66" s="492">
        <f>Y66</f>
        <v>0</v>
      </c>
      <c r="AO66" s="492">
        <f t="shared" si="132"/>
        <v>349274</v>
      </c>
      <c r="AP66" s="492">
        <f t="shared" si="132"/>
        <v>10334</v>
      </c>
      <c r="AQ66" s="492">
        <f t="shared" si="132"/>
        <v>0</v>
      </c>
      <c r="AR66" s="626">
        <f>N66+AK66</f>
        <v>1.5455000000000001</v>
      </c>
    </row>
    <row r="67" spans="1:44" ht="12.95" customHeight="1" x14ac:dyDescent="0.25">
      <c r="A67" s="205">
        <v>15</v>
      </c>
      <c r="B67" s="206">
        <v>4433</v>
      </c>
      <c r="C67" s="206">
        <v>600075001</v>
      </c>
      <c r="D67" s="206">
        <v>70695440</v>
      </c>
      <c r="E67" s="208" t="s">
        <v>322</v>
      </c>
      <c r="F67" s="206">
        <v>3117</v>
      </c>
      <c r="G67" s="209" t="s">
        <v>284</v>
      </c>
      <c r="H67" s="209" t="s">
        <v>263</v>
      </c>
      <c r="I67" s="586">
        <f t="shared" si="123"/>
        <v>0</v>
      </c>
      <c r="J67" s="490"/>
      <c r="K67" s="431">
        <f t="shared" si="124"/>
        <v>0</v>
      </c>
      <c r="L67" s="431">
        <f t="shared" si="125"/>
        <v>0</v>
      </c>
      <c r="M67" s="325">
        <v>0</v>
      </c>
      <c r="N67" s="752"/>
      <c r="O67" s="327">
        <f t="shared" si="126"/>
        <v>0</v>
      </c>
      <c r="P67" s="492">
        <v>396848</v>
      </c>
      <c r="Q67" s="325">
        <v>0</v>
      </c>
      <c r="R67" s="325">
        <v>0</v>
      </c>
      <c r="S67" s="325">
        <v>0</v>
      </c>
      <c r="T67" s="325">
        <v>0</v>
      </c>
      <c r="U67" s="492">
        <f>O67+P67+Q67+R67+S67+T67</f>
        <v>396848</v>
      </c>
      <c r="V67" s="325">
        <v>0</v>
      </c>
      <c r="W67" s="325">
        <v>0</v>
      </c>
      <c r="X67" s="325">
        <v>0</v>
      </c>
      <c r="Y67" s="492">
        <f t="shared" si="127"/>
        <v>0</v>
      </c>
      <c r="Z67" s="492">
        <f t="shared" si="128"/>
        <v>396848</v>
      </c>
      <c r="AA67" s="494">
        <f t="shared" si="129"/>
        <v>134135</v>
      </c>
      <c r="AB67" s="494">
        <f t="shared" si="130"/>
        <v>3968</v>
      </c>
      <c r="AC67" s="492">
        <v>0</v>
      </c>
      <c r="AD67" s="789">
        <f t="shared" si="131"/>
        <v>534951</v>
      </c>
      <c r="AE67" s="715">
        <v>0</v>
      </c>
      <c r="AF67" s="491">
        <v>1</v>
      </c>
      <c r="AG67" s="326">
        <v>0</v>
      </c>
      <c r="AH67" s="326">
        <v>0</v>
      </c>
      <c r="AI67" s="326">
        <v>0</v>
      </c>
      <c r="AJ67" s="326">
        <v>0</v>
      </c>
      <c r="AK67" s="626">
        <f>SUM(AE67:AJ67)</f>
        <v>1</v>
      </c>
      <c r="AL67" s="696">
        <f>I67+AD67</f>
        <v>534951</v>
      </c>
      <c r="AM67" s="492">
        <f>J67+U67</f>
        <v>396848</v>
      </c>
      <c r="AN67" s="492">
        <f>Y67</f>
        <v>0</v>
      </c>
      <c r="AO67" s="492">
        <f t="shared" si="132"/>
        <v>134135</v>
      </c>
      <c r="AP67" s="492">
        <f t="shared" si="132"/>
        <v>3968</v>
      </c>
      <c r="AQ67" s="492">
        <f t="shared" si="132"/>
        <v>0</v>
      </c>
      <c r="AR67" s="626">
        <f>N67+AK67</f>
        <v>1</v>
      </c>
    </row>
    <row r="68" spans="1:44" ht="12.95" customHeight="1" x14ac:dyDescent="0.25">
      <c r="A68" s="205">
        <v>15</v>
      </c>
      <c r="B68" s="206">
        <v>4433</v>
      </c>
      <c r="C68" s="206">
        <v>600075001</v>
      </c>
      <c r="D68" s="206">
        <v>70695440</v>
      </c>
      <c r="E68" s="208" t="s">
        <v>322</v>
      </c>
      <c r="F68" s="206">
        <v>3143</v>
      </c>
      <c r="G68" s="209" t="s">
        <v>794</v>
      </c>
      <c r="H68" s="209" t="s">
        <v>262</v>
      </c>
      <c r="I68" s="586">
        <f t="shared" si="123"/>
        <v>667239</v>
      </c>
      <c r="J68" s="490">
        <v>494984</v>
      </c>
      <c r="K68" s="431">
        <f t="shared" si="124"/>
        <v>167305</v>
      </c>
      <c r="L68" s="431">
        <f t="shared" si="125"/>
        <v>4950</v>
      </c>
      <c r="M68" s="325">
        <v>0</v>
      </c>
      <c r="N68" s="752">
        <v>1</v>
      </c>
      <c r="O68" s="327">
        <f t="shared" si="126"/>
        <v>0</v>
      </c>
      <c r="P68" s="492">
        <v>0</v>
      </c>
      <c r="Q68" s="325">
        <v>0</v>
      </c>
      <c r="R68" s="325">
        <v>0</v>
      </c>
      <c r="S68" s="325">
        <v>0</v>
      </c>
      <c r="T68" s="325">
        <v>0</v>
      </c>
      <c r="U68" s="492">
        <f>O68+P68+Q68+R68+S68+T68</f>
        <v>0</v>
      </c>
      <c r="V68" s="325">
        <v>0</v>
      </c>
      <c r="W68" s="325">
        <v>0</v>
      </c>
      <c r="X68" s="325">
        <v>0</v>
      </c>
      <c r="Y68" s="492">
        <f t="shared" si="127"/>
        <v>0</v>
      </c>
      <c r="Z68" s="492">
        <f t="shared" si="128"/>
        <v>0</v>
      </c>
      <c r="AA68" s="494">
        <f t="shared" si="129"/>
        <v>0</v>
      </c>
      <c r="AB68" s="494">
        <f t="shared" si="130"/>
        <v>0</v>
      </c>
      <c r="AC68" s="492">
        <v>0</v>
      </c>
      <c r="AD68" s="789">
        <f t="shared" si="131"/>
        <v>0</v>
      </c>
      <c r="AE68" s="715">
        <v>0</v>
      </c>
      <c r="AF68" s="491">
        <v>0</v>
      </c>
      <c r="AG68" s="326">
        <v>0</v>
      </c>
      <c r="AH68" s="326">
        <v>0</v>
      </c>
      <c r="AI68" s="326">
        <v>0</v>
      </c>
      <c r="AJ68" s="326">
        <v>0</v>
      </c>
      <c r="AK68" s="626">
        <f>SUM(AE68:AJ68)</f>
        <v>0</v>
      </c>
      <c r="AL68" s="696">
        <f>I68+AD68</f>
        <v>667239</v>
      </c>
      <c r="AM68" s="492">
        <f>J68+U68</f>
        <v>494984</v>
      </c>
      <c r="AN68" s="492">
        <f>Y68</f>
        <v>0</v>
      </c>
      <c r="AO68" s="492">
        <f t="shared" si="132"/>
        <v>167305</v>
      </c>
      <c r="AP68" s="492">
        <f t="shared" si="132"/>
        <v>4950</v>
      </c>
      <c r="AQ68" s="492">
        <f t="shared" si="132"/>
        <v>0</v>
      </c>
      <c r="AR68" s="626">
        <f>N68+AK68</f>
        <v>1</v>
      </c>
    </row>
    <row r="69" spans="1:44" ht="12.95" customHeight="1" x14ac:dyDescent="0.25">
      <c r="A69" s="198">
        <v>15</v>
      </c>
      <c r="B69" s="200">
        <v>4433</v>
      </c>
      <c r="C69" s="200">
        <v>600075001</v>
      </c>
      <c r="D69" s="200">
        <v>70695440</v>
      </c>
      <c r="E69" s="213" t="s">
        <v>323</v>
      </c>
      <c r="F69" s="216"/>
      <c r="G69" s="217"/>
      <c r="H69" s="217"/>
      <c r="I69" s="688">
        <f t="shared" ref="I69:AR69" si="133">SUM(I65:I68)</f>
        <v>3664905</v>
      </c>
      <c r="J69" s="353">
        <f t="shared" si="133"/>
        <v>2718772</v>
      </c>
      <c r="K69" s="353">
        <f t="shared" si="133"/>
        <v>918945</v>
      </c>
      <c r="L69" s="353">
        <f t="shared" si="133"/>
        <v>27188</v>
      </c>
      <c r="M69" s="353">
        <f t="shared" ref="M69" si="134">SUM(M65:M68)</f>
        <v>0</v>
      </c>
      <c r="N69" s="817">
        <f t="shared" si="133"/>
        <v>4.5455000000000005</v>
      </c>
      <c r="O69" s="688">
        <f t="shared" si="133"/>
        <v>0</v>
      </c>
      <c r="P69" s="353">
        <f t="shared" si="133"/>
        <v>396848</v>
      </c>
      <c r="Q69" s="353">
        <f t="shared" si="133"/>
        <v>0</v>
      </c>
      <c r="R69" s="353">
        <f t="shared" si="133"/>
        <v>0</v>
      </c>
      <c r="S69" s="353">
        <f t="shared" si="133"/>
        <v>0</v>
      </c>
      <c r="T69" s="353">
        <f t="shared" si="133"/>
        <v>0</v>
      </c>
      <c r="U69" s="353">
        <f t="shared" si="133"/>
        <v>396848</v>
      </c>
      <c r="V69" s="353">
        <f t="shared" si="133"/>
        <v>0</v>
      </c>
      <c r="W69" s="353">
        <f t="shared" si="133"/>
        <v>0</v>
      </c>
      <c r="X69" s="353">
        <f t="shared" si="133"/>
        <v>0</v>
      </c>
      <c r="Y69" s="353">
        <f t="shared" si="133"/>
        <v>0</v>
      </c>
      <c r="Z69" s="353">
        <f t="shared" si="133"/>
        <v>396848</v>
      </c>
      <c r="AA69" s="353">
        <f t="shared" si="133"/>
        <v>134135</v>
      </c>
      <c r="AB69" s="353">
        <f t="shared" si="133"/>
        <v>3968</v>
      </c>
      <c r="AC69" s="353">
        <f t="shared" si="133"/>
        <v>0</v>
      </c>
      <c r="AD69" s="685">
        <f t="shared" si="133"/>
        <v>534951</v>
      </c>
      <c r="AE69" s="830">
        <v>0</v>
      </c>
      <c r="AF69" s="354">
        <f t="shared" si="133"/>
        <v>1</v>
      </c>
      <c r="AG69" s="354">
        <f t="shared" si="133"/>
        <v>0</v>
      </c>
      <c r="AH69" s="354">
        <f t="shared" si="133"/>
        <v>0</v>
      </c>
      <c r="AI69" s="354">
        <f t="shared" si="133"/>
        <v>0</v>
      </c>
      <c r="AJ69" s="354">
        <f t="shared" si="133"/>
        <v>0</v>
      </c>
      <c r="AK69" s="215">
        <f t="shared" si="133"/>
        <v>1</v>
      </c>
      <c r="AL69" s="688">
        <f t="shared" si="133"/>
        <v>4199856</v>
      </c>
      <c r="AM69" s="353">
        <f t="shared" si="133"/>
        <v>3115620</v>
      </c>
      <c r="AN69" s="353">
        <f t="shared" si="133"/>
        <v>0</v>
      </c>
      <c r="AO69" s="353">
        <f t="shared" si="133"/>
        <v>1053080</v>
      </c>
      <c r="AP69" s="353">
        <f t="shared" si="133"/>
        <v>31156</v>
      </c>
      <c r="AQ69" s="353">
        <f t="shared" si="133"/>
        <v>0</v>
      </c>
      <c r="AR69" s="215">
        <f t="shared" si="133"/>
        <v>5.5455000000000005</v>
      </c>
    </row>
    <row r="70" spans="1:44" ht="12.95" customHeight="1" x14ac:dyDescent="0.25">
      <c r="A70" s="205">
        <v>16</v>
      </c>
      <c r="B70" s="206">
        <v>4487</v>
      </c>
      <c r="C70" s="206">
        <v>600074854</v>
      </c>
      <c r="D70" s="206">
        <v>70698503</v>
      </c>
      <c r="E70" s="208" t="s">
        <v>324</v>
      </c>
      <c r="F70" s="206">
        <v>3111</v>
      </c>
      <c r="G70" s="209" t="s">
        <v>290</v>
      </c>
      <c r="H70" s="209" t="s">
        <v>262</v>
      </c>
      <c r="I70" s="586">
        <f t="shared" ref="I70:I73" si="135">SUM(J70:M70)</f>
        <v>1630897</v>
      </c>
      <c r="J70" s="490">
        <v>1209864</v>
      </c>
      <c r="K70" s="431">
        <f t="shared" ref="K70:K73" si="136">ROUND(J70*33.8%,0)</f>
        <v>408934</v>
      </c>
      <c r="L70" s="431">
        <f t="shared" ref="L70:L73" si="137">ROUND(J70*1%,0)</f>
        <v>12099</v>
      </c>
      <c r="M70" s="325">
        <v>0</v>
      </c>
      <c r="N70" s="752">
        <v>2</v>
      </c>
      <c r="O70" s="327">
        <f t="shared" ref="O70:O73" si="138">V70*-1</f>
        <v>-18000</v>
      </c>
      <c r="P70" s="492">
        <v>0</v>
      </c>
      <c r="Q70" s="325">
        <v>0</v>
      </c>
      <c r="R70" s="325">
        <v>0</v>
      </c>
      <c r="S70" s="325">
        <v>0</v>
      </c>
      <c r="T70" s="325">
        <v>0</v>
      </c>
      <c r="U70" s="492">
        <f>O70+P70+Q70+R70+S70+T70</f>
        <v>-18000</v>
      </c>
      <c r="V70" s="325">
        <v>18000</v>
      </c>
      <c r="W70" s="325">
        <v>0</v>
      </c>
      <c r="X70" s="325">
        <v>0</v>
      </c>
      <c r="Y70" s="492">
        <f t="shared" ref="Y70:Y73" si="139">V70+W70+X70</f>
        <v>18000</v>
      </c>
      <c r="Z70" s="492">
        <f t="shared" ref="Z70:Z73" si="140">U70+Y70</f>
        <v>0</v>
      </c>
      <c r="AA70" s="494">
        <f t="shared" ref="AA70:AA73" si="141">ROUND((U70+Y70)*33.8%,0)</f>
        <v>0</v>
      </c>
      <c r="AB70" s="494">
        <f t="shared" ref="AB70:AB73" si="142">ROUND(U70*1%,0)</f>
        <v>-180</v>
      </c>
      <c r="AC70" s="492">
        <v>0</v>
      </c>
      <c r="AD70" s="789">
        <f t="shared" ref="AD70:AD73" si="143">Z70+AA70+AB70+AC70</f>
        <v>-180</v>
      </c>
      <c r="AE70" s="715">
        <v>0</v>
      </c>
      <c r="AF70" s="491">
        <v>0</v>
      </c>
      <c r="AG70" s="326">
        <v>0</v>
      </c>
      <c r="AH70" s="326">
        <v>0</v>
      </c>
      <c r="AI70" s="326">
        <v>0</v>
      </c>
      <c r="AJ70" s="326">
        <v>0</v>
      </c>
      <c r="AK70" s="626">
        <f>SUM(AE70:AJ70)</f>
        <v>0</v>
      </c>
      <c r="AL70" s="696">
        <f>I70+AD70</f>
        <v>1630717</v>
      </c>
      <c r="AM70" s="492">
        <f>J70+U70</f>
        <v>1191864</v>
      </c>
      <c r="AN70" s="492">
        <f>Y70</f>
        <v>18000</v>
      </c>
      <c r="AO70" s="492">
        <f t="shared" ref="AO70:AQ73" si="144">K70+AA70</f>
        <v>408934</v>
      </c>
      <c r="AP70" s="492">
        <f t="shared" si="144"/>
        <v>11919</v>
      </c>
      <c r="AQ70" s="492">
        <f t="shared" si="144"/>
        <v>0</v>
      </c>
      <c r="AR70" s="626">
        <f>N70+AK70</f>
        <v>2</v>
      </c>
    </row>
    <row r="71" spans="1:44" ht="12.95" customHeight="1" x14ac:dyDescent="0.25">
      <c r="A71" s="205">
        <v>16</v>
      </c>
      <c r="B71" s="206">
        <v>4487</v>
      </c>
      <c r="C71" s="206">
        <v>600074854</v>
      </c>
      <c r="D71" s="206">
        <v>70698503</v>
      </c>
      <c r="E71" s="208" t="s">
        <v>324</v>
      </c>
      <c r="F71" s="206">
        <v>3117</v>
      </c>
      <c r="G71" s="209" t="s">
        <v>294</v>
      </c>
      <c r="H71" s="209" t="s">
        <v>262</v>
      </c>
      <c r="I71" s="586">
        <f t="shared" si="135"/>
        <v>3600039</v>
      </c>
      <c r="J71" s="490">
        <v>2670653</v>
      </c>
      <c r="K71" s="431">
        <f>ROUND(J71*33.8%,0)-1</f>
        <v>902680</v>
      </c>
      <c r="L71" s="431">
        <f>ROUND(J71*1%,0)-1</f>
        <v>26706</v>
      </c>
      <c r="M71" s="325">
        <v>0</v>
      </c>
      <c r="N71" s="752">
        <v>4.0909000000000004</v>
      </c>
      <c r="O71" s="327">
        <f t="shared" si="138"/>
        <v>-60000</v>
      </c>
      <c r="P71" s="492">
        <v>0</v>
      </c>
      <c r="Q71" s="325">
        <v>0</v>
      </c>
      <c r="R71" s="325">
        <v>0</v>
      </c>
      <c r="S71" s="325">
        <v>0</v>
      </c>
      <c r="T71" s="325">
        <v>0</v>
      </c>
      <c r="U71" s="492">
        <f>O71+P71+Q71+R71+S71+T71</f>
        <v>-60000</v>
      </c>
      <c r="V71" s="325">
        <v>60000</v>
      </c>
      <c r="W71" s="325">
        <v>0</v>
      </c>
      <c r="X71" s="325">
        <v>0</v>
      </c>
      <c r="Y71" s="492">
        <f t="shared" si="139"/>
        <v>60000</v>
      </c>
      <c r="Z71" s="492">
        <f t="shared" si="140"/>
        <v>0</v>
      </c>
      <c r="AA71" s="494">
        <f t="shared" si="141"/>
        <v>0</v>
      </c>
      <c r="AB71" s="494">
        <f t="shared" si="142"/>
        <v>-600</v>
      </c>
      <c r="AC71" s="492">
        <v>0</v>
      </c>
      <c r="AD71" s="789">
        <f t="shared" si="143"/>
        <v>-600</v>
      </c>
      <c r="AE71" s="715">
        <v>0</v>
      </c>
      <c r="AF71" s="491">
        <v>0</v>
      </c>
      <c r="AG71" s="326">
        <v>0</v>
      </c>
      <c r="AH71" s="326">
        <v>0</v>
      </c>
      <c r="AI71" s="326">
        <v>0</v>
      </c>
      <c r="AJ71" s="326">
        <v>0</v>
      </c>
      <c r="AK71" s="626">
        <f>SUM(AE71:AJ71)</f>
        <v>0</v>
      </c>
      <c r="AL71" s="696">
        <f>I71+AD71</f>
        <v>3599439</v>
      </c>
      <c r="AM71" s="492">
        <f>J71+U71</f>
        <v>2610653</v>
      </c>
      <c r="AN71" s="492">
        <f>Y71</f>
        <v>60000</v>
      </c>
      <c r="AO71" s="492">
        <f t="shared" si="144"/>
        <v>902680</v>
      </c>
      <c r="AP71" s="492">
        <f t="shared" si="144"/>
        <v>26106</v>
      </c>
      <c r="AQ71" s="492">
        <f t="shared" si="144"/>
        <v>0</v>
      </c>
      <c r="AR71" s="626">
        <f>N71+AK71</f>
        <v>4.0909000000000004</v>
      </c>
    </row>
    <row r="72" spans="1:44" ht="12.95" customHeight="1" x14ac:dyDescent="0.25">
      <c r="A72" s="205">
        <v>16</v>
      </c>
      <c r="B72" s="206">
        <v>4487</v>
      </c>
      <c r="C72" s="206">
        <v>600074854</v>
      </c>
      <c r="D72" s="206">
        <v>70698503</v>
      </c>
      <c r="E72" s="208" t="s">
        <v>324</v>
      </c>
      <c r="F72" s="206">
        <v>3117</v>
      </c>
      <c r="G72" s="209" t="s">
        <v>284</v>
      </c>
      <c r="H72" s="209" t="s">
        <v>263</v>
      </c>
      <c r="I72" s="586">
        <f t="shared" si="135"/>
        <v>0</v>
      </c>
      <c r="J72" s="490"/>
      <c r="K72" s="431">
        <f t="shared" si="136"/>
        <v>0</v>
      </c>
      <c r="L72" s="431">
        <f t="shared" si="137"/>
        <v>0</v>
      </c>
      <c r="M72" s="325">
        <v>0</v>
      </c>
      <c r="N72" s="752"/>
      <c r="O72" s="327">
        <f t="shared" si="138"/>
        <v>0</v>
      </c>
      <c r="P72" s="492">
        <v>891199</v>
      </c>
      <c r="Q72" s="325">
        <v>0</v>
      </c>
      <c r="R72" s="325">
        <v>0</v>
      </c>
      <c r="S72" s="325">
        <v>0</v>
      </c>
      <c r="T72" s="325">
        <v>0</v>
      </c>
      <c r="U72" s="492">
        <f>O72+P72+Q72+R72+S72+T72</f>
        <v>891199</v>
      </c>
      <c r="V72" s="325">
        <v>0</v>
      </c>
      <c r="W72" s="325">
        <v>0</v>
      </c>
      <c r="X72" s="325">
        <v>0</v>
      </c>
      <c r="Y72" s="492">
        <f t="shared" si="139"/>
        <v>0</v>
      </c>
      <c r="Z72" s="492">
        <f t="shared" si="140"/>
        <v>891199</v>
      </c>
      <c r="AA72" s="494">
        <f t="shared" si="141"/>
        <v>301225</v>
      </c>
      <c r="AB72" s="494">
        <f t="shared" si="142"/>
        <v>8912</v>
      </c>
      <c r="AC72" s="492">
        <v>0</v>
      </c>
      <c r="AD72" s="789">
        <f t="shared" si="143"/>
        <v>1201336</v>
      </c>
      <c r="AE72" s="715">
        <v>0</v>
      </c>
      <c r="AF72" s="491">
        <v>2.5</v>
      </c>
      <c r="AG72" s="326">
        <v>0</v>
      </c>
      <c r="AH72" s="326">
        <v>0</v>
      </c>
      <c r="AI72" s="326">
        <v>0</v>
      </c>
      <c r="AJ72" s="326">
        <v>0</v>
      </c>
      <c r="AK72" s="626">
        <f>SUM(AE72:AJ72)</f>
        <v>2.5</v>
      </c>
      <c r="AL72" s="696">
        <f>I72+AD72</f>
        <v>1201336</v>
      </c>
      <c r="AM72" s="492">
        <f>J72+U72</f>
        <v>891199</v>
      </c>
      <c r="AN72" s="492">
        <f>Y72</f>
        <v>0</v>
      </c>
      <c r="AO72" s="492">
        <f t="shared" si="144"/>
        <v>301225</v>
      </c>
      <c r="AP72" s="492">
        <f t="shared" si="144"/>
        <v>8912</v>
      </c>
      <c r="AQ72" s="492">
        <f t="shared" si="144"/>
        <v>0</v>
      </c>
      <c r="AR72" s="626">
        <f>N72+AK72</f>
        <v>2.5</v>
      </c>
    </row>
    <row r="73" spans="1:44" ht="12.95" customHeight="1" x14ac:dyDescent="0.25">
      <c r="A73" s="205">
        <v>16</v>
      </c>
      <c r="B73" s="206">
        <v>4487</v>
      </c>
      <c r="C73" s="206">
        <v>600074854</v>
      </c>
      <c r="D73" s="206">
        <v>70698503</v>
      </c>
      <c r="E73" s="208" t="s">
        <v>324</v>
      </c>
      <c r="F73" s="206">
        <v>3143</v>
      </c>
      <c r="G73" s="209" t="s">
        <v>794</v>
      </c>
      <c r="H73" s="209" t="s">
        <v>262</v>
      </c>
      <c r="I73" s="586">
        <f t="shared" si="135"/>
        <v>1360207</v>
      </c>
      <c r="J73" s="490">
        <v>1009055</v>
      </c>
      <c r="K73" s="431">
        <f t="shared" si="136"/>
        <v>341061</v>
      </c>
      <c r="L73" s="431">
        <f t="shared" si="137"/>
        <v>10091</v>
      </c>
      <c r="M73" s="325">
        <v>0</v>
      </c>
      <c r="N73" s="752">
        <v>2</v>
      </c>
      <c r="O73" s="327">
        <f t="shared" si="138"/>
        <v>-90000</v>
      </c>
      <c r="P73" s="492">
        <v>0</v>
      </c>
      <c r="Q73" s="325">
        <v>0</v>
      </c>
      <c r="R73" s="325">
        <v>0</v>
      </c>
      <c r="S73" s="325">
        <v>0</v>
      </c>
      <c r="T73" s="325">
        <v>0</v>
      </c>
      <c r="U73" s="492">
        <f>O73+P73+Q73+R73+S73+T73</f>
        <v>-90000</v>
      </c>
      <c r="V73" s="325">
        <v>90000</v>
      </c>
      <c r="W73" s="325">
        <v>0</v>
      </c>
      <c r="X73" s="325">
        <v>0</v>
      </c>
      <c r="Y73" s="492">
        <f t="shared" si="139"/>
        <v>90000</v>
      </c>
      <c r="Z73" s="492">
        <f t="shared" si="140"/>
        <v>0</v>
      </c>
      <c r="AA73" s="494">
        <f t="shared" si="141"/>
        <v>0</v>
      </c>
      <c r="AB73" s="494">
        <f t="shared" si="142"/>
        <v>-900</v>
      </c>
      <c r="AC73" s="492">
        <v>0</v>
      </c>
      <c r="AD73" s="789">
        <f t="shared" si="143"/>
        <v>-900</v>
      </c>
      <c r="AE73" s="715">
        <v>0</v>
      </c>
      <c r="AF73" s="491">
        <v>0</v>
      </c>
      <c r="AG73" s="326">
        <v>0</v>
      </c>
      <c r="AH73" s="326">
        <v>0</v>
      </c>
      <c r="AI73" s="326">
        <v>0</v>
      </c>
      <c r="AJ73" s="326">
        <v>0</v>
      </c>
      <c r="AK73" s="626">
        <f>SUM(AE73:AJ73)</f>
        <v>0</v>
      </c>
      <c r="AL73" s="696">
        <f>I73+AD73</f>
        <v>1359307</v>
      </c>
      <c r="AM73" s="492">
        <f>J73+U73</f>
        <v>919055</v>
      </c>
      <c r="AN73" s="492">
        <f>Y73</f>
        <v>90000</v>
      </c>
      <c r="AO73" s="492">
        <f t="shared" si="144"/>
        <v>341061</v>
      </c>
      <c r="AP73" s="492">
        <f t="shared" si="144"/>
        <v>9191</v>
      </c>
      <c r="AQ73" s="492">
        <f t="shared" si="144"/>
        <v>0</v>
      </c>
      <c r="AR73" s="626">
        <f>N73+AK73</f>
        <v>2</v>
      </c>
    </row>
    <row r="74" spans="1:44" ht="12.95" customHeight="1" x14ac:dyDescent="0.25">
      <c r="A74" s="198">
        <v>16</v>
      </c>
      <c r="B74" s="200">
        <v>4487</v>
      </c>
      <c r="C74" s="200">
        <v>600074854</v>
      </c>
      <c r="D74" s="200">
        <v>70698503</v>
      </c>
      <c r="E74" s="213" t="s">
        <v>325</v>
      </c>
      <c r="F74" s="216"/>
      <c r="G74" s="217"/>
      <c r="H74" s="217"/>
      <c r="I74" s="688">
        <f t="shared" ref="I74:AR74" si="145">SUM(I70:I73)</f>
        <v>6591143</v>
      </c>
      <c r="J74" s="353">
        <f t="shared" si="145"/>
        <v>4889572</v>
      </c>
      <c r="K74" s="353">
        <f t="shared" si="145"/>
        <v>1652675</v>
      </c>
      <c r="L74" s="353">
        <f t="shared" si="145"/>
        <v>48896</v>
      </c>
      <c r="M74" s="353">
        <f t="shared" ref="M74" si="146">SUM(M70:M73)</f>
        <v>0</v>
      </c>
      <c r="N74" s="817">
        <f t="shared" si="145"/>
        <v>8.0909000000000013</v>
      </c>
      <c r="O74" s="688">
        <f t="shared" si="145"/>
        <v>-168000</v>
      </c>
      <c r="P74" s="353">
        <f t="shared" si="145"/>
        <v>891199</v>
      </c>
      <c r="Q74" s="353">
        <f t="shared" si="145"/>
        <v>0</v>
      </c>
      <c r="R74" s="353">
        <f t="shared" si="145"/>
        <v>0</v>
      </c>
      <c r="S74" s="353">
        <f t="shared" si="145"/>
        <v>0</v>
      </c>
      <c r="T74" s="353">
        <f t="shared" si="145"/>
        <v>0</v>
      </c>
      <c r="U74" s="353">
        <f t="shared" si="145"/>
        <v>723199</v>
      </c>
      <c r="V74" s="353">
        <f t="shared" si="145"/>
        <v>168000</v>
      </c>
      <c r="W74" s="353">
        <f t="shared" si="145"/>
        <v>0</v>
      </c>
      <c r="X74" s="353">
        <f t="shared" si="145"/>
        <v>0</v>
      </c>
      <c r="Y74" s="353">
        <f t="shared" si="145"/>
        <v>168000</v>
      </c>
      <c r="Z74" s="353">
        <f t="shared" si="145"/>
        <v>891199</v>
      </c>
      <c r="AA74" s="353">
        <f t="shared" si="145"/>
        <v>301225</v>
      </c>
      <c r="AB74" s="353">
        <f t="shared" si="145"/>
        <v>7232</v>
      </c>
      <c r="AC74" s="353">
        <f t="shared" si="145"/>
        <v>0</v>
      </c>
      <c r="AD74" s="685">
        <f t="shared" si="145"/>
        <v>1199656</v>
      </c>
      <c r="AE74" s="830">
        <v>0</v>
      </c>
      <c r="AF74" s="354">
        <f t="shared" si="145"/>
        <v>2.5</v>
      </c>
      <c r="AG74" s="354">
        <f t="shared" si="145"/>
        <v>0</v>
      </c>
      <c r="AH74" s="354">
        <f t="shared" si="145"/>
        <v>0</v>
      </c>
      <c r="AI74" s="354">
        <f t="shared" si="145"/>
        <v>0</v>
      </c>
      <c r="AJ74" s="354">
        <f t="shared" si="145"/>
        <v>0</v>
      </c>
      <c r="AK74" s="215">
        <f t="shared" si="145"/>
        <v>2.5</v>
      </c>
      <c r="AL74" s="688">
        <f t="shared" si="145"/>
        <v>7790799</v>
      </c>
      <c r="AM74" s="353">
        <f t="shared" si="145"/>
        <v>5612771</v>
      </c>
      <c r="AN74" s="353">
        <f t="shared" si="145"/>
        <v>168000</v>
      </c>
      <c r="AO74" s="353">
        <f t="shared" si="145"/>
        <v>1953900</v>
      </c>
      <c r="AP74" s="353">
        <f t="shared" si="145"/>
        <v>56128</v>
      </c>
      <c r="AQ74" s="353">
        <f t="shared" si="145"/>
        <v>0</v>
      </c>
      <c r="AR74" s="215">
        <f t="shared" si="145"/>
        <v>10.590900000000001</v>
      </c>
    </row>
    <row r="75" spans="1:44" ht="12.95" customHeight="1" x14ac:dyDescent="0.25">
      <c r="A75" s="205">
        <v>17</v>
      </c>
      <c r="B75" s="206">
        <v>4488</v>
      </c>
      <c r="C75" s="206">
        <v>600074803</v>
      </c>
      <c r="D75" s="206">
        <v>72742089</v>
      </c>
      <c r="E75" s="208" t="s">
        <v>326</v>
      </c>
      <c r="F75" s="206">
        <v>3111</v>
      </c>
      <c r="G75" s="209" t="s">
        <v>290</v>
      </c>
      <c r="H75" s="209" t="s">
        <v>262</v>
      </c>
      <c r="I75" s="586">
        <f t="shared" ref="I75:I78" si="147">SUM(J75:M75)</f>
        <v>1522966</v>
      </c>
      <c r="J75" s="490">
        <v>1129797</v>
      </c>
      <c r="K75" s="431">
        <f t="shared" ref="K75:K78" si="148">ROUND(J75*33.8%,0)</f>
        <v>381871</v>
      </c>
      <c r="L75" s="431">
        <f t="shared" ref="L75:L78" si="149">ROUND(J75*1%,0)</f>
        <v>11298</v>
      </c>
      <c r="M75" s="325">
        <v>0</v>
      </c>
      <c r="N75" s="752">
        <v>2</v>
      </c>
      <c r="O75" s="327">
        <f t="shared" ref="O75:O78" si="150">V75*-1</f>
        <v>0</v>
      </c>
      <c r="P75" s="492">
        <v>0</v>
      </c>
      <c r="Q75" s="325">
        <v>0</v>
      </c>
      <c r="R75" s="325">
        <v>0</v>
      </c>
      <c r="S75" s="325">
        <v>0</v>
      </c>
      <c r="T75" s="325">
        <v>0</v>
      </c>
      <c r="U75" s="492">
        <f>O75+P75+Q75+R75+S75+T75</f>
        <v>0</v>
      </c>
      <c r="V75" s="325">
        <v>0</v>
      </c>
      <c r="W75" s="325">
        <v>0</v>
      </c>
      <c r="X75" s="325">
        <v>0</v>
      </c>
      <c r="Y75" s="492">
        <f t="shared" ref="Y75:Y78" si="151">V75+W75+X75</f>
        <v>0</v>
      </c>
      <c r="Z75" s="492">
        <f t="shared" ref="Z75:Z78" si="152">U75+Y75</f>
        <v>0</v>
      </c>
      <c r="AA75" s="494">
        <f t="shared" ref="AA75:AA78" si="153">ROUND((U75+Y75)*33.8%,0)</f>
        <v>0</v>
      </c>
      <c r="AB75" s="494">
        <f t="shared" ref="AB75:AB78" si="154">ROUND(U75*1%,0)</f>
        <v>0</v>
      </c>
      <c r="AC75" s="492">
        <v>0</v>
      </c>
      <c r="AD75" s="789">
        <f t="shared" ref="AD75:AD78" si="155">Z75+AA75+AB75+AC75</f>
        <v>0</v>
      </c>
      <c r="AE75" s="715">
        <v>0</v>
      </c>
      <c r="AF75" s="491">
        <v>0</v>
      </c>
      <c r="AG75" s="326">
        <v>0</v>
      </c>
      <c r="AH75" s="326">
        <v>0</v>
      </c>
      <c r="AI75" s="326">
        <v>0</v>
      </c>
      <c r="AJ75" s="326">
        <v>0</v>
      </c>
      <c r="AK75" s="626">
        <f>SUM(AE75:AJ75)</f>
        <v>0</v>
      </c>
      <c r="AL75" s="696">
        <f>I75+AD75</f>
        <v>1522966</v>
      </c>
      <c r="AM75" s="492">
        <f>J75+U75</f>
        <v>1129797</v>
      </c>
      <c r="AN75" s="492">
        <f>Y75</f>
        <v>0</v>
      </c>
      <c r="AO75" s="492">
        <f t="shared" ref="AO75:AQ78" si="156">K75+AA75</f>
        <v>381871</v>
      </c>
      <c r="AP75" s="492">
        <f t="shared" si="156"/>
        <v>11298</v>
      </c>
      <c r="AQ75" s="492">
        <f t="shared" si="156"/>
        <v>0</v>
      </c>
      <c r="AR75" s="626">
        <f>N75+AK75</f>
        <v>2</v>
      </c>
    </row>
    <row r="76" spans="1:44" ht="12.95" customHeight="1" x14ac:dyDescent="0.25">
      <c r="A76" s="205">
        <v>17</v>
      </c>
      <c r="B76" s="206">
        <v>4488</v>
      </c>
      <c r="C76" s="206">
        <v>600074803</v>
      </c>
      <c r="D76" s="206">
        <v>72742089</v>
      </c>
      <c r="E76" s="208" t="s">
        <v>326</v>
      </c>
      <c r="F76" s="206">
        <v>3117</v>
      </c>
      <c r="G76" s="209" t="s">
        <v>294</v>
      </c>
      <c r="H76" s="209" t="s">
        <v>262</v>
      </c>
      <c r="I76" s="586">
        <f t="shared" si="147"/>
        <v>3802571</v>
      </c>
      <c r="J76" s="490">
        <v>2820898</v>
      </c>
      <c r="K76" s="431">
        <f t="shared" si="148"/>
        <v>953464</v>
      </c>
      <c r="L76" s="431">
        <f t="shared" si="149"/>
        <v>28209</v>
      </c>
      <c r="M76" s="325">
        <v>0</v>
      </c>
      <c r="N76" s="752">
        <v>4</v>
      </c>
      <c r="O76" s="327">
        <f t="shared" si="150"/>
        <v>0</v>
      </c>
      <c r="P76" s="492">
        <v>0</v>
      </c>
      <c r="Q76" s="325">
        <v>0</v>
      </c>
      <c r="R76" s="325">
        <v>0</v>
      </c>
      <c r="S76" s="325">
        <v>0</v>
      </c>
      <c r="T76" s="325">
        <v>0</v>
      </c>
      <c r="U76" s="492">
        <f>O76+P76+Q76+R76+S76+T76</f>
        <v>0</v>
      </c>
      <c r="V76" s="325">
        <v>0</v>
      </c>
      <c r="W76" s="325">
        <v>0</v>
      </c>
      <c r="X76" s="325">
        <v>0</v>
      </c>
      <c r="Y76" s="492">
        <f t="shared" si="151"/>
        <v>0</v>
      </c>
      <c r="Z76" s="492">
        <f t="shared" si="152"/>
        <v>0</v>
      </c>
      <c r="AA76" s="494">
        <f t="shared" si="153"/>
        <v>0</v>
      </c>
      <c r="AB76" s="494">
        <f t="shared" si="154"/>
        <v>0</v>
      </c>
      <c r="AC76" s="492">
        <v>0</v>
      </c>
      <c r="AD76" s="789">
        <f t="shared" si="155"/>
        <v>0</v>
      </c>
      <c r="AE76" s="715">
        <v>0</v>
      </c>
      <c r="AF76" s="491">
        <v>0</v>
      </c>
      <c r="AG76" s="326">
        <v>0</v>
      </c>
      <c r="AH76" s="326">
        <v>0</v>
      </c>
      <c r="AI76" s="326">
        <v>0</v>
      </c>
      <c r="AJ76" s="326">
        <v>0</v>
      </c>
      <c r="AK76" s="626">
        <f>SUM(AE76:AJ76)</f>
        <v>0</v>
      </c>
      <c r="AL76" s="696">
        <f>I76+AD76</f>
        <v>3802571</v>
      </c>
      <c r="AM76" s="492">
        <f>J76+U76</f>
        <v>2820898</v>
      </c>
      <c r="AN76" s="492">
        <f>Y76</f>
        <v>0</v>
      </c>
      <c r="AO76" s="492">
        <f t="shared" si="156"/>
        <v>953464</v>
      </c>
      <c r="AP76" s="492">
        <f t="shared" si="156"/>
        <v>28209</v>
      </c>
      <c r="AQ76" s="492">
        <f t="shared" si="156"/>
        <v>0</v>
      </c>
      <c r="AR76" s="626">
        <f>N76+AK76</f>
        <v>4</v>
      </c>
    </row>
    <row r="77" spans="1:44" ht="12.95" customHeight="1" x14ac:dyDescent="0.25">
      <c r="A77" s="205">
        <v>17</v>
      </c>
      <c r="B77" s="206">
        <v>4488</v>
      </c>
      <c r="C77" s="206">
        <v>600074803</v>
      </c>
      <c r="D77" s="206">
        <v>72742089</v>
      </c>
      <c r="E77" s="208" t="s">
        <v>326</v>
      </c>
      <c r="F77" s="206">
        <v>3117</v>
      </c>
      <c r="G77" s="209" t="s">
        <v>284</v>
      </c>
      <c r="H77" s="209" t="s">
        <v>263</v>
      </c>
      <c r="I77" s="586">
        <f t="shared" si="147"/>
        <v>0</v>
      </c>
      <c r="J77" s="490"/>
      <c r="K77" s="431">
        <f t="shared" si="148"/>
        <v>0</v>
      </c>
      <c r="L77" s="431">
        <f t="shared" si="149"/>
        <v>0</v>
      </c>
      <c r="M77" s="325">
        <v>0</v>
      </c>
      <c r="N77" s="752"/>
      <c r="O77" s="327">
        <f t="shared" si="150"/>
        <v>0</v>
      </c>
      <c r="P77" s="492">
        <v>948029</v>
      </c>
      <c r="Q77" s="325">
        <v>0</v>
      </c>
      <c r="R77" s="325">
        <v>0</v>
      </c>
      <c r="S77" s="325">
        <v>0</v>
      </c>
      <c r="T77" s="325">
        <v>0</v>
      </c>
      <c r="U77" s="492">
        <f>O77+P77+Q77+R77+S77+T77</f>
        <v>948029</v>
      </c>
      <c r="V77" s="325">
        <v>0</v>
      </c>
      <c r="W77" s="325">
        <v>0</v>
      </c>
      <c r="X77" s="325">
        <v>0</v>
      </c>
      <c r="Y77" s="492">
        <f t="shared" si="151"/>
        <v>0</v>
      </c>
      <c r="Z77" s="492">
        <f t="shared" si="152"/>
        <v>948029</v>
      </c>
      <c r="AA77" s="494">
        <f t="shared" si="153"/>
        <v>320434</v>
      </c>
      <c r="AB77" s="494">
        <f t="shared" si="154"/>
        <v>9480</v>
      </c>
      <c r="AC77" s="492">
        <v>0</v>
      </c>
      <c r="AD77" s="789">
        <f t="shared" si="155"/>
        <v>1277943</v>
      </c>
      <c r="AE77" s="715">
        <v>0</v>
      </c>
      <c r="AF77" s="491">
        <v>2.39</v>
      </c>
      <c r="AG77" s="326">
        <v>0</v>
      </c>
      <c r="AH77" s="326">
        <v>0</v>
      </c>
      <c r="AI77" s="326">
        <v>0</v>
      </c>
      <c r="AJ77" s="326">
        <v>0</v>
      </c>
      <c r="AK77" s="626">
        <f>SUM(AE77:AJ77)</f>
        <v>2.39</v>
      </c>
      <c r="AL77" s="696">
        <f>I77+AD77</f>
        <v>1277943</v>
      </c>
      <c r="AM77" s="492">
        <f>J77+U77</f>
        <v>948029</v>
      </c>
      <c r="AN77" s="492">
        <f>Y77</f>
        <v>0</v>
      </c>
      <c r="AO77" s="492">
        <f t="shared" si="156"/>
        <v>320434</v>
      </c>
      <c r="AP77" s="492">
        <f t="shared" si="156"/>
        <v>9480</v>
      </c>
      <c r="AQ77" s="492">
        <f t="shared" si="156"/>
        <v>0</v>
      </c>
      <c r="AR77" s="626">
        <f>N77+AK77</f>
        <v>2.39</v>
      </c>
    </row>
    <row r="78" spans="1:44" ht="12.95" customHeight="1" x14ac:dyDescent="0.25">
      <c r="A78" s="205">
        <v>17</v>
      </c>
      <c r="B78" s="206">
        <v>4488</v>
      </c>
      <c r="C78" s="206">
        <v>600074803</v>
      </c>
      <c r="D78" s="206">
        <v>72742089</v>
      </c>
      <c r="E78" s="208" t="s">
        <v>326</v>
      </c>
      <c r="F78" s="206">
        <v>3143</v>
      </c>
      <c r="G78" s="209" t="s">
        <v>794</v>
      </c>
      <c r="H78" s="209" t="s">
        <v>262</v>
      </c>
      <c r="I78" s="586">
        <f t="shared" si="147"/>
        <v>675519</v>
      </c>
      <c r="J78" s="490">
        <v>501127</v>
      </c>
      <c r="K78" s="431">
        <f t="shared" si="148"/>
        <v>169381</v>
      </c>
      <c r="L78" s="431">
        <f t="shared" si="149"/>
        <v>5011</v>
      </c>
      <c r="M78" s="325">
        <v>0</v>
      </c>
      <c r="N78" s="752">
        <v>1</v>
      </c>
      <c r="O78" s="327">
        <f t="shared" si="150"/>
        <v>0</v>
      </c>
      <c r="P78" s="492">
        <v>0</v>
      </c>
      <c r="Q78" s="325">
        <v>0</v>
      </c>
      <c r="R78" s="325">
        <v>0</v>
      </c>
      <c r="S78" s="325">
        <v>0</v>
      </c>
      <c r="T78" s="325">
        <v>0</v>
      </c>
      <c r="U78" s="492">
        <f>O78+P78+Q78+R78+S78+T78</f>
        <v>0</v>
      </c>
      <c r="V78" s="325">
        <v>0</v>
      </c>
      <c r="W78" s="325">
        <v>0</v>
      </c>
      <c r="X78" s="325">
        <v>0</v>
      </c>
      <c r="Y78" s="492">
        <f t="shared" si="151"/>
        <v>0</v>
      </c>
      <c r="Z78" s="492">
        <f t="shared" si="152"/>
        <v>0</v>
      </c>
      <c r="AA78" s="494">
        <f t="shared" si="153"/>
        <v>0</v>
      </c>
      <c r="AB78" s="494">
        <f t="shared" si="154"/>
        <v>0</v>
      </c>
      <c r="AC78" s="492">
        <v>0</v>
      </c>
      <c r="AD78" s="789">
        <f t="shared" si="155"/>
        <v>0</v>
      </c>
      <c r="AE78" s="715">
        <v>0</v>
      </c>
      <c r="AF78" s="491">
        <v>0</v>
      </c>
      <c r="AG78" s="326">
        <v>0</v>
      </c>
      <c r="AH78" s="326">
        <v>0</v>
      </c>
      <c r="AI78" s="326">
        <v>0</v>
      </c>
      <c r="AJ78" s="326">
        <v>0</v>
      </c>
      <c r="AK78" s="626">
        <f>SUM(AE78:AJ78)</f>
        <v>0</v>
      </c>
      <c r="AL78" s="696">
        <f>I78+AD78</f>
        <v>675519</v>
      </c>
      <c r="AM78" s="492">
        <f>J78+U78</f>
        <v>501127</v>
      </c>
      <c r="AN78" s="492">
        <f>Y78</f>
        <v>0</v>
      </c>
      <c r="AO78" s="492">
        <f t="shared" si="156"/>
        <v>169381</v>
      </c>
      <c r="AP78" s="492">
        <f t="shared" si="156"/>
        <v>5011</v>
      </c>
      <c r="AQ78" s="492">
        <f t="shared" si="156"/>
        <v>0</v>
      </c>
      <c r="AR78" s="626">
        <f>N78+AK78</f>
        <v>1</v>
      </c>
    </row>
    <row r="79" spans="1:44" ht="12.95" customHeight="1" x14ac:dyDescent="0.25">
      <c r="A79" s="198">
        <v>17</v>
      </c>
      <c r="B79" s="200">
        <v>4488</v>
      </c>
      <c r="C79" s="200">
        <v>600074803</v>
      </c>
      <c r="D79" s="200">
        <v>72742089</v>
      </c>
      <c r="E79" s="213" t="s">
        <v>327</v>
      </c>
      <c r="F79" s="216"/>
      <c r="G79" s="217"/>
      <c r="H79" s="217"/>
      <c r="I79" s="688">
        <f t="shared" ref="I79:AR79" si="157">SUM(I75:I78)</f>
        <v>6001056</v>
      </c>
      <c r="J79" s="353">
        <f t="shared" si="157"/>
        <v>4451822</v>
      </c>
      <c r="K79" s="353">
        <f t="shared" si="157"/>
        <v>1504716</v>
      </c>
      <c r="L79" s="353">
        <f t="shared" si="157"/>
        <v>44518</v>
      </c>
      <c r="M79" s="353">
        <f t="shared" ref="M79" si="158">SUM(M75:M78)</f>
        <v>0</v>
      </c>
      <c r="N79" s="817">
        <f t="shared" si="157"/>
        <v>7</v>
      </c>
      <c r="O79" s="688">
        <f t="shared" si="157"/>
        <v>0</v>
      </c>
      <c r="P79" s="353">
        <f t="shared" si="157"/>
        <v>948029</v>
      </c>
      <c r="Q79" s="353">
        <f t="shared" si="157"/>
        <v>0</v>
      </c>
      <c r="R79" s="353">
        <f t="shared" si="157"/>
        <v>0</v>
      </c>
      <c r="S79" s="353">
        <f t="shared" si="157"/>
        <v>0</v>
      </c>
      <c r="T79" s="353">
        <f t="shared" si="157"/>
        <v>0</v>
      </c>
      <c r="U79" s="353">
        <f t="shared" si="157"/>
        <v>948029</v>
      </c>
      <c r="V79" s="353">
        <f t="shared" si="157"/>
        <v>0</v>
      </c>
      <c r="W79" s="353">
        <f t="shared" si="157"/>
        <v>0</v>
      </c>
      <c r="X79" s="353">
        <f t="shared" si="157"/>
        <v>0</v>
      </c>
      <c r="Y79" s="353">
        <f t="shared" si="157"/>
        <v>0</v>
      </c>
      <c r="Z79" s="353">
        <f t="shared" si="157"/>
        <v>948029</v>
      </c>
      <c r="AA79" s="353">
        <f t="shared" si="157"/>
        <v>320434</v>
      </c>
      <c r="AB79" s="353">
        <f t="shared" si="157"/>
        <v>9480</v>
      </c>
      <c r="AC79" s="353">
        <f t="shared" si="157"/>
        <v>0</v>
      </c>
      <c r="AD79" s="685">
        <f t="shared" si="157"/>
        <v>1277943</v>
      </c>
      <c r="AE79" s="830">
        <v>0</v>
      </c>
      <c r="AF79" s="354">
        <f t="shared" si="157"/>
        <v>2.39</v>
      </c>
      <c r="AG79" s="354">
        <f t="shared" si="157"/>
        <v>0</v>
      </c>
      <c r="AH79" s="354">
        <f t="shared" si="157"/>
        <v>0</v>
      </c>
      <c r="AI79" s="354">
        <f t="shared" si="157"/>
        <v>0</v>
      </c>
      <c r="AJ79" s="354">
        <f t="shared" si="157"/>
        <v>0</v>
      </c>
      <c r="AK79" s="215">
        <f t="shared" si="157"/>
        <v>2.39</v>
      </c>
      <c r="AL79" s="688">
        <f t="shared" si="157"/>
        <v>7278999</v>
      </c>
      <c r="AM79" s="353">
        <f t="shared" si="157"/>
        <v>5399851</v>
      </c>
      <c r="AN79" s="353">
        <f t="shared" si="157"/>
        <v>0</v>
      </c>
      <c r="AO79" s="353">
        <f t="shared" si="157"/>
        <v>1825150</v>
      </c>
      <c r="AP79" s="353">
        <f t="shared" si="157"/>
        <v>53998</v>
      </c>
      <c r="AQ79" s="353">
        <f t="shared" si="157"/>
        <v>0</v>
      </c>
      <c r="AR79" s="215">
        <f t="shared" si="157"/>
        <v>9.39</v>
      </c>
    </row>
    <row r="80" spans="1:44" ht="12.95" customHeight="1" x14ac:dyDescent="0.25">
      <c r="A80" s="205">
        <v>18</v>
      </c>
      <c r="B80" s="206">
        <v>4434</v>
      </c>
      <c r="C80" s="206">
        <v>650025768</v>
      </c>
      <c r="D80" s="206">
        <v>72744481</v>
      </c>
      <c r="E80" s="208" t="s">
        <v>328</v>
      </c>
      <c r="F80" s="206">
        <v>3111</v>
      </c>
      <c r="G80" s="209" t="s">
        <v>290</v>
      </c>
      <c r="H80" s="209" t="s">
        <v>262</v>
      </c>
      <c r="I80" s="586">
        <f t="shared" ref="I80:I83" si="159">SUM(J80:M80)</f>
        <v>4616932</v>
      </c>
      <c r="J80" s="490">
        <v>3425024</v>
      </c>
      <c r="K80" s="431">
        <f t="shared" ref="K80:K83" si="160">ROUND(J80*33.8%,0)</f>
        <v>1157658</v>
      </c>
      <c r="L80" s="431">
        <f t="shared" ref="L80:L83" si="161">ROUND(J80*1%,0)</f>
        <v>34250</v>
      </c>
      <c r="M80" s="325">
        <v>0</v>
      </c>
      <c r="N80" s="752">
        <v>5.8516000000000004</v>
      </c>
      <c r="O80" s="327">
        <f t="shared" ref="O80:O83" si="162">V80*-1</f>
        <v>0</v>
      </c>
      <c r="P80" s="492">
        <v>0</v>
      </c>
      <c r="Q80" s="325">
        <v>0</v>
      </c>
      <c r="R80" s="325">
        <v>0</v>
      </c>
      <c r="S80" s="325">
        <v>0</v>
      </c>
      <c r="T80" s="325">
        <v>0</v>
      </c>
      <c r="U80" s="492">
        <f>O80+P80+Q80+R80+S80+T80</f>
        <v>0</v>
      </c>
      <c r="V80" s="325">
        <v>0</v>
      </c>
      <c r="W80" s="325">
        <v>0</v>
      </c>
      <c r="X80" s="325">
        <v>0</v>
      </c>
      <c r="Y80" s="492">
        <f t="shared" ref="Y80:Y83" si="163">V80+W80+X80</f>
        <v>0</v>
      </c>
      <c r="Z80" s="492">
        <f t="shared" ref="Z80:Z83" si="164">U80+Y80</f>
        <v>0</v>
      </c>
      <c r="AA80" s="494">
        <f t="shared" ref="AA80:AA83" si="165">ROUND((U80+Y80)*33.8%,0)</f>
        <v>0</v>
      </c>
      <c r="AB80" s="494">
        <f t="shared" ref="AB80:AB83" si="166">ROUND(U80*1%,0)</f>
        <v>0</v>
      </c>
      <c r="AC80" s="492">
        <v>0</v>
      </c>
      <c r="AD80" s="789">
        <f t="shared" ref="AD80:AD83" si="167">Z80+AA80+AB80+AC80</f>
        <v>0</v>
      </c>
      <c r="AE80" s="715">
        <v>0</v>
      </c>
      <c r="AF80" s="491">
        <v>0</v>
      </c>
      <c r="AG80" s="326">
        <v>0</v>
      </c>
      <c r="AH80" s="326">
        <v>0</v>
      </c>
      <c r="AI80" s="326">
        <v>0</v>
      </c>
      <c r="AJ80" s="326">
        <v>0</v>
      </c>
      <c r="AK80" s="626">
        <f>SUM(AE80:AJ80)</f>
        <v>0</v>
      </c>
      <c r="AL80" s="696">
        <f>I80+AD80</f>
        <v>4616932</v>
      </c>
      <c r="AM80" s="492">
        <f>J80+U80</f>
        <v>3425024</v>
      </c>
      <c r="AN80" s="492">
        <f>Y80</f>
        <v>0</v>
      </c>
      <c r="AO80" s="492">
        <f t="shared" ref="AO80:AQ83" si="168">K80+AA80</f>
        <v>1157658</v>
      </c>
      <c r="AP80" s="492">
        <f t="shared" si="168"/>
        <v>34250</v>
      </c>
      <c r="AQ80" s="492">
        <f t="shared" si="168"/>
        <v>0</v>
      </c>
      <c r="AR80" s="626">
        <f>N80+AK80</f>
        <v>5.8516000000000004</v>
      </c>
    </row>
    <row r="81" spans="1:44" ht="12.95" customHeight="1" x14ac:dyDescent="0.25">
      <c r="A81" s="205">
        <v>18</v>
      </c>
      <c r="B81" s="206">
        <v>4434</v>
      </c>
      <c r="C81" s="206">
        <v>650025768</v>
      </c>
      <c r="D81" s="206">
        <v>72744481</v>
      </c>
      <c r="E81" s="208" t="s">
        <v>328</v>
      </c>
      <c r="F81" s="206">
        <v>3113</v>
      </c>
      <c r="G81" s="209" t="s">
        <v>294</v>
      </c>
      <c r="H81" s="209" t="s">
        <v>262</v>
      </c>
      <c r="I81" s="586">
        <f t="shared" si="159"/>
        <v>12165706</v>
      </c>
      <c r="J81" s="490">
        <v>9025004</v>
      </c>
      <c r="K81" s="431">
        <f>ROUND(J81*33.8%,0)+1</f>
        <v>3050452</v>
      </c>
      <c r="L81" s="431">
        <f t="shared" si="161"/>
        <v>90250</v>
      </c>
      <c r="M81" s="325">
        <v>0</v>
      </c>
      <c r="N81" s="752">
        <v>12.8635</v>
      </c>
      <c r="O81" s="327">
        <f t="shared" si="162"/>
        <v>-12000</v>
      </c>
      <c r="P81" s="492">
        <v>0</v>
      </c>
      <c r="Q81" s="325">
        <v>0</v>
      </c>
      <c r="R81" s="325">
        <v>0</v>
      </c>
      <c r="S81" s="325">
        <v>0</v>
      </c>
      <c r="T81" s="325">
        <v>0</v>
      </c>
      <c r="U81" s="492">
        <f>O81+P81+Q81+R81+S81+T81</f>
        <v>-12000</v>
      </c>
      <c r="V81" s="325">
        <v>12000</v>
      </c>
      <c r="W81" s="325">
        <v>0</v>
      </c>
      <c r="X81" s="325">
        <v>0</v>
      </c>
      <c r="Y81" s="492">
        <f t="shared" si="163"/>
        <v>12000</v>
      </c>
      <c r="Z81" s="492">
        <f t="shared" si="164"/>
        <v>0</v>
      </c>
      <c r="AA81" s="494">
        <f t="shared" si="165"/>
        <v>0</v>
      </c>
      <c r="AB81" s="494">
        <f t="shared" si="166"/>
        <v>-120</v>
      </c>
      <c r="AC81" s="492">
        <v>0</v>
      </c>
      <c r="AD81" s="789">
        <f t="shared" si="167"/>
        <v>-120</v>
      </c>
      <c r="AE81" s="715">
        <v>0</v>
      </c>
      <c r="AF81" s="491">
        <v>0</v>
      </c>
      <c r="AG81" s="326">
        <v>0</v>
      </c>
      <c r="AH81" s="326">
        <v>0</v>
      </c>
      <c r="AI81" s="326">
        <v>0</v>
      </c>
      <c r="AJ81" s="326">
        <v>0</v>
      </c>
      <c r="AK81" s="626">
        <f>SUM(AE81:AJ81)</f>
        <v>0</v>
      </c>
      <c r="AL81" s="696">
        <f>I81+AD81</f>
        <v>12165586</v>
      </c>
      <c r="AM81" s="492">
        <f>J81+U81</f>
        <v>9013004</v>
      </c>
      <c r="AN81" s="492">
        <f>Y81</f>
        <v>12000</v>
      </c>
      <c r="AO81" s="492">
        <f t="shared" si="168"/>
        <v>3050452</v>
      </c>
      <c r="AP81" s="492">
        <f t="shared" si="168"/>
        <v>90130</v>
      </c>
      <c r="AQ81" s="492">
        <f t="shared" si="168"/>
        <v>0</v>
      </c>
      <c r="AR81" s="626">
        <f>N81+AK81</f>
        <v>12.8635</v>
      </c>
    </row>
    <row r="82" spans="1:44" ht="12.95" customHeight="1" x14ac:dyDescent="0.25">
      <c r="A82" s="205">
        <v>18</v>
      </c>
      <c r="B82" s="206">
        <v>4434</v>
      </c>
      <c r="C82" s="206">
        <v>650025768</v>
      </c>
      <c r="D82" s="206">
        <v>72744481</v>
      </c>
      <c r="E82" s="208" t="s">
        <v>328</v>
      </c>
      <c r="F82" s="206">
        <v>3113</v>
      </c>
      <c r="G82" s="209" t="s">
        <v>284</v>
      </c>
      <c r="H82" s="209" t="s">
        <v>263</v>
      </c>
      <c r="I82" s="586">
        <f t="shared" si="159"/>
        <v>0</v>
      </c>
      <c r="J82" s="490"/>
      <c r="K82" s="431">
        <f t="shared" si="160"/>
        <v>0</v>
      </c>
      <c r="L82" s="431">
        <f t="shared" si="161"/>
        <v>0</v>
      </c>
      <c r="M82" s="325">
        <v>0</v>
      </c>
      <c r="N82" s="752"/>
      <c r="O82" s="327">
        <f t="shared" si="162"/>
        <v>0</v>
      </c>
      <c r="P82" s="492">
        <f>1785814</f>
        <v>1785814</v>
      </c>
      <c r="Q82" s="325">
        <v>0</v>
      </c>
      <c r="R82" s="325">
        <v>0</v>
      </c>
      <c r="S82" s="325">
        <v>0</v>
      </c>
      <c r="T82" s="325">
        <v>0</v>
      </c>
      <c r="U82" s="492">
        <f>O82+P82+Q82+R82+S82+T82</f>
        <v>1785814</v>
      </c>
      <c r="V82" s="325">
        <v>0</v>
      </c>
      <c r="W82" s="325">
        <v>0</v>
      </c>
      <c r="X82" s="325">
        <v>0</v>
      </c>
      <c r="Y82" s="492">
        <f t="shared" si="163"/>
        <v>0</v>
      </c>
      <c r="Z82" s="492">
        <f t="shared" si="164"/>
        <v>1785814</v>
      </c>
      <c r="AA82" s="494">
        <f t="shared" si="165"/>
        <v>603605</v>
      </c>
      <c r="AB82" s="494">
        <f t="shared" si="166"/>
        <v>17858</v>
      </c>
      <c r="AC82" s="492">
        <v>0</v>
      </c>
      <c r="AD82" s="789">
        <f t="shared" si="167"/>
        <v>2407277</v>
      </c>
      <c r="AE82" s="715">
        <v>0</v>
      </c>
      <c r="AF82" s="491">
        <f>4.5</f>
        <v>4.5</v>
      </c>
      <c r="AG82" s="326">
        <v>0</v>
      </c>
      <c r="AH82" s="326">
        <v>0</v>
      </c>
      <c r="AI82" s="326">
        <v>0</v>
      </c>
      <c r="AJ82" s="326">
        <v>0</v>
      </c>
      <c r="AK82" s="626">
        <f>SUM(AE82:AJ82)</f>
        <v>4.5</v>
      </c>
      <c r="AL82" s="696">
        <f>I82+AD82</f>
        <v>2407277</v>
      </c>
      <c r="AM82" s="492">
        <f>J82+U82</f>
        <v>1785814</v>
      </c>
      <c r="AN82" s="492">
        <f>Y82</f>
        <v>0</v>
      </c>
      <c r="AO82" s="492">
        <f t="shared" si="168"/>
        <v>603605</v>
      </c>
      <c r="AP82" s="492">
        <f t="shared" si="168"/>
        <v>17858</v>
      </c>
      <c r="AQ82" s="492">
        <f t="shared" si="168"/>
        <v>0</v>
      </c>
      <c r="AR82" s="626">
        <f>N82+AK82</f>
        <v>4.5</v>
      </c>
    </row>
    <row r="83" spans="1:44" ht="12.95" customHeight="1" x14ac:dyDescent="0.25">
      <c r="A83" s="205">
        <v>18</v>
      </c>
      <c r="B83" s="206">
        <v>4434</v>
      </c>
      <c r="C83" s="206">
        <v>650025768</v>
      </c>
      <c r="D83" s="206">
        <v>72744481</v>
      </c>
      <c r="E83" s="208" t="s">
        <v>328</v>
      </c>
      <c r="F83" s="206">
        <v>3143</v>
      </c>
      <c r="G83" s="209" t="s">
        <v>794</v>
      </c>
      <c r="H83" s="209" t="s">
        <v>262</v>
      </c>
      <c r="I83" s="586">
        <f t="shared" si="159"/>
        <v>1465532</v>
      </c>
      <c r="J83" s="490">
        <v>1087190</v>
      </c>
      <c r="K83" s="431">
        <f t="shared" si="160"/>
        <v>367470</v>
      </c>
      <c r="L83" s="431">
        <f t="shared" si="161"/>
        <v>10872</v>
      </c>
      <c r="M83" s="325">
        <v>0</v>
      </c>
      <c r="N83" s="752">
        <v>2</v>
      </c>
      <c r="O83" s="327">
        <f t="shared" si="162"/>
        <v>-12000</v>
      </c>
      <c r="P83" s="492">
        <v>0</v>
      </c>
      <c r="Q83" s="325">
        <v>0</v>
      </c>
      <c r="R83" s="325">
        <v>0</v>
      </c>
      <c r="S83" s="325">
        <v>0</v>
      </c>
      <c r="T83" s="325">
        <v>0</v>
      </c>
      <c r="U83" s="492">
        <f>O83+P83+Q83+R83+S83+T83</f>
        <v>-12000</v>
      </c>
      <c r="V83" s="325">
        <v>12000</v>
      </c>
      <c r="W83" s="325">
        <v>0</v>
      </c>
      <c r="X83" s="325">
        <v>0</v>
      </c>
      <c r="Y83" s="492">
        <f t="shared" si="163"/>
        <v>12000</v>
      </c>
      <c r="Z83" s="492">
        <f t="shared" si="164"/>
        <v>0</v>
      </c>
      <c r="AA83" s="494">
        <f t="shared" si="165"/>
        <v>0</v>
      </c>
      <c r="AB83" s="494">
        <f t="shared" si="166"/>
        <v>-120</v>
      </c>
      <c r="AC83" s="492">
        <v>0</v>
      </c>
      <c r="AD83" s="789">
        <f t="shared" si="167"/>
        <v>-120</v>
      </c>
      <c r="AE83" s="715">
        <v>0</v>
      </c>
      <c r="AF83" s="491">
        <v>0</v>
      </c>
      <c r="AG83" s="326">
        <v>0</v>
      </c>
      <c r="AH83" s="326">
        <v>0</v>
      </c>
      <c r="AI83" s="326">
        <v>0</v>
      </c>
      <c r="AJ83" s="326">
        <v>0</v>
      </c>
      <c r="AK83" s="626">
        <f>SUM(AE83:AJ83)</f>
        <v>0</v>
      </c>
      <c r="AL83" s="696">
        <f>I83+AD83</f>
        <v>1465412</v>
      </c>
      <c r="AM83" s="492">
        <f>J83+U83</f>
        <v>1075190</v>
      </c>
      <c r="AN83" s="492">
        <f>Y83</f>
        <v>12000</v>
      </c>
      <c r="AO83" s="492">
        <f t="shared" si="168"/>
        <v>367470</v>
      </c>
      <c r="AP83" s="492">
        <f t="shared" si="168"/>
        <v>10752</v>
      </c>
      <c r="AQ83" s="492">
        <f t="shared" si="168"/>
        <v>0</v>
      </c>
      <c r="AR83" s="626">
        <f>N83+AK83</f>
        <v>2</v>
      </c>
    </row>
    <row r="84" spans="1:44" ht="12.95" customHeight="1" x14ac:dyDescent="0.25">
      <c r="A84" s="198">
        <v>18</v>
      </c>
      <c r="B84" s="200">
        <v>4434</v>
      </c>
      <c r="C84" s="200">
        <v>650025768</v>
      </c>
      <c r="D84" s="200">
        <v>72744481</v>
      </c>
      <c r="E84" s="219" t="s">
        <v>329</v>
      </c>
      <c r="F84" s="220"/>
      <c r="G84" s="221"/>
      <c r="H84" s="221"/>
      <c r="I84" s="688">
        <f t="shared" ref="I84:AR84" si="169">SUM(I80:I83)</f>
        <v>18248170</v>
      </c>
      <c r="J84" s="353">
        <f t="shared" si="169"/>
        <v>13537218</v>
      </c>
      <c r="K84" s="353">
        <f t="shared" si="169"/>
        <v>4575580</v>
      </c>
      <c r="L84" s="353">
        <f t="shared" si="169"/>
        <v>135372</v>
      </c>
      <c r="M84" s="353">
        <f t="shared" ref="M84" si="170">SUM(M80:M83)</f>
        <v>0</v>
      </c>
      <c r="N84" s="817">
        <f t="shared" si="169"/>
        <v>20.7151</v>
      </c>
      <c r="O84" s="688">
        <f t="shared" si="169"/>
        <v>-24000</v>
      </c>
      <c r="P84" s="353">
        <f t="shared" si="169"/>
        <v>1785814</v>
      </c>
      <c r="Q84" s="353">
        <f t="shared" si="169"/>
        <v>0</v>
      </c>
      <c r="R84" s="353">
        <f t="shared" si="169"/>
        <v>0</v>
      </c>
      <c r="S84" s="353">
        <f t="shared" si="169"/>
        <v>0</v>
      </c>
      <c r="T84" s="353">
        <f t="shared" si="169"/>
        <v>0</v>
      </c>
      <c r="U84" s="353">
        <f t="shared" si="169"/>
        <v>1761814</v>
      </c>
      <c r="V84" s="353">
        <f t="shared" si="169"/>
        <v>24000</v>
      </c>
      <c r="W84" s="353">
        <f t="shared" si="169"/>
        <v>0</v>
      </c>
      <c r="X84" s="353">
        <f t="shared" si="169"/>
        <v>0</v>
      </c>
      <c r="Y84" s="353">
        <f t="shared" si="169"/>
        <v>24000</v>
      </c>
      <c r="Z84" s="353">
        <f t="shared" si="169"/>
        <v>1785814</v>
      </c>
      <c r="AA84" s="353">
        <f t="shared" si="169"/>
        <v>603605</v>
      </c>
      <c r="AB84" s="353">
        <f t="shared" si="169"/>
        <v>17618</v>
      </c>
      <c r="AC84" s="353">
        <f t="shared" si="169"/>
        <v>0</v>
      </c>
      <c r="AD84" s="685">
        <f t="shared" si="169"/>
        <v>2407037</v>
      </c>
      <c r="AE84" s="830">
        <v>0</v>
      </c>
      <c r="AF84" s="354">
        <f t="shared" si="169"/>
        <v>4.5</v>
      </c>
      <c r="AG84" s="354">
        <f t="shared" si="169"/>
        <v>0</v>
      </c>
      <c r="AH84" s="354">
        <f t="shared" si="169"/>
        <v>0</v>
      </c>
      <c r="AI84" s="354">
        <f t="shared" si="169"/>
        <v>0</v>
      </c>
      <c r="AJ84" s="354">
        <f t="shared" si="169"/>
        <v>0</v>
      </c>
      <c r="AK84" s="215">
        <f t="shared" si="169"/>
        <v>4.5</v>
      </c>
      <c r="AL84" s="688">
        <f t="shared" si="169"/>
        <v>20655207</v>
      </c>
      <c r="AM84" s="353">
        <f t="shared" si="169"/>
        <v>15299032</v>
      </c>
      <c r="AN84" s="353">
        <f t="shared" si="169"/>
        <v>24000</v>
      </c>
      <c r="AO84" s="353">
        <f t="shared" si="169"/>
        <v>5179185</v>
      </c>
      <c r="AP84" s="353">
        <f t="shared" si="169"/>
        <v>152990</v>
      </c>
      <c r="AQ84" s="353">
        <f t="shared" si="169"/>
        <v>0</v>
      </c>
      <c r="AR84" s="215">
        <f t="shared" si="169"/>
        <v>25.2151</v>
      </c>
    </row>
    <row r="85" spans="1:44" ht="12.95" customHeight="1" x14ac:dyDescent="0.25">
      <c r="A85" s="205">
        <v>19</v>
      </c>
      <c r="B85" s="206">
        <v>4441</v>
      </c>
      <c r="C85" s="206">
        <v>600074668</v>
      </c>
      <c r="D85" s="206">
        <v>46750495</v>
      </c>
      <c r="E85" s="222" t="s">
        <v>330</v>
      </c>
      <c r="F85" s="223">
        <v>3111</v>
      </c>
      <c r="G85" s="209" t="s">
        <v>290</v>
      </c>
      <c r="H85" s="209" t="s">
        <v>262</v>
      </c>
      <c r="I85" s="586">
        <f t="shared" ref="I85:I88" si="171">SUM(J85:M85)</f>
        <v>4522784</v>
      </c>
      <c r="J85" s="490">
        <v>3355181</v>
      </c>
      <c r="K85" s="431">
        <f t="shared" ref="K85:K88" si="172">ROUND(J85*33.8%,0)</f>
        <v>1134051</v>
      </c>
      <c r="L85" s="431">
        <f t="shared" ref="L85:L88" si="173">ROUND(J85*1%,0)</f>
        <v>33552</v>
      </c>
      <c r="M85" s="325">
        <v>0</v>
      </c>
      <c r="N85" s="752">
        <v>5.6452</v>
      </c>
      <c r="O85" s="327">
        <f t="shared" ref="O85:O88" si="174">V85*-1</f>
        <v>-1920</v>
      </c>
      <c r="P85" s="492">
        <v>0</v>
      </c>
      <c r="Q85" s="325">
        <v>0</v>
      </c>
      <c r="R85" s="325">
        <v>0</v>
      </c>
      <c r="S85" s="325">
        <v>0</v>
      </c>
      <c r="T85" s="325">
        <v>0</v>
      </c>
      <c r="U85" s="492">
        <f>O85+P85+Q85+R85+S85+T85</f>
        <v>-1920</v>
      </c>
      <c r="V85" s="325">
        <v>1920</v>
      </c>
      <c r="W85" s="325">
        <v>0</v>
      </c>
      <c r="X85" s="325">
        <v>0</v>
      </c>
      <c r="Y85" s="492">
        <f t="shared" ref="Y85:Y88" si="175">V85+W85+X85</f>
        <v>1920</v>
      </c>
      <c r="Z85" s="492">
        <f t="shared" ref="Z85:Z88" si="176">U85+Y85</f>
        <v>0</v>
      </c>
      <c r="AA85" s="494">
        <f t="shared" ref="AA85:AA88" si="177">ROUND((U85+Y85)*33.8%,0)</f>
        <v>0</v>
      </c>
      <c r="AB85" s="494">
        <f t="shared" ref="AB85:AB88" si="178">ROUND(U85*1%,0)</f>
        <v>-19</v>
      </c>
      <c r="AC85" s="492">
        <v>0</v>
      </c>
      <c r="AD85" s="789">
        <f t="shared" ref="AD85:AD88" si="179">Z85+AA85+AB85+AC85</f>
        <v>-19</v>
      </c>
      <c r="AE85" s="715">
        <v>0</v>
      </c>
      <c r="AF85" s="491">
        <v>0</v>
      </c>
      <c r="AG85" s="326">
        <v>0</v>
      </c>
      <c r="AH85" s="326">
        <v>0</v>
      </c>
      <c r="AI85" s="326">
        <v>0</v>
      </c>
      <c r="AJ85" s="326">
        <v>0</v>
      </c>
      <c r="AK85" s="626">
        <f>SUM(AE85:AJ85)</f>
        <v>0</v>
      </c>
      <c r="AL85" s="696">
        <f>I85+AD85</f>
        <v>4522765</v>
      </c>
      <c r="AM85" s="492">
        <f>J85+U85</f>
        <v>3353261</v>
      </c>
      <c r="AN85" s="492">
        <f>Y85</f>
        <v>1920</v>
      </c>
      <c r="AO85" s="492">
        <f t="shared" ref="AO85:AQ88" si="180">K85+AA85</f>
        <v>1134051</v>
      </c>
      <c r="AP85" s="492">
        <f t="shared" si="180"/>
        <v>33533</v>
      </c>
      <c r="AQ85" s="492">
        <f t="shared" si="180"/>
        <v>0</v>
      </c>
      <c r="AR85" s="626">
        <f>N85+AK85</f>
        <v>5.6452</v>
      </c>
    </row>
    <row r="86" spans="1:44" ht="12.95" customHeight="1" x14ac:dyDescent="0.25">
      <c r="A86" s="205">
        <v>19</v>
      </c>
      <c r="B86" s="206">
        <v>4441</v>
      </c>
      <c r="C86" s="206">
        <v>600074668</v>
      </c>
      <c r="D86" s="206">
        <v>46750495</v>
      </c>
      <c r="E86" s="222" t="s">
        <v>330</v>
      </c>
      <c r="F86" s="223">
        <v>3117</v>
      </c>
      <c r="G86" s="209" t="s">
        <v>294</v>
      </c>
      <c r="H86" s="209" t="s">
        <v>262</v>
      </c>
      <c r="I86" s="586">
        <f t="shared" si="171"/>
        <v>3632876</v>
      </c>
      <c r="J86" s="490">
        <v>2695012</v>
      </c>
      <c r="K86" s="431">
        <f t="shared" si="172"/>
        <v>910914</v>
      </c>
      <c r="L86" s="431">
        <f t="shared" si="173"/>
        <v>26950</v>
      </c>
      <c r="M86" s="325">
        <v>0</v>
      </c>
      <c r="N86" s="752">
        <v>4.0454999999999997</v>
      </c>
      <c r="O86" s="327">
        <f t="shared" si="174"/>
        <v>0</v>
      </c>
      <c r="P86" s="492">
        <v>0</v>
      </c>
      <c r="Q86" s="325">
        <v>0</v>
      </c>
      <c r="R86" s="325">
        <v>0</v>
      </c>
      <c r="S86" s="325">
        <v>0</v>
      </c>
      <c r="T86" s="325">
        <v>0</v>
      </c>
      <c r="U86" s="492">
        <f>O86+P86+Q86+R86+S86+T86</f>
        <v>0</v>
      </c>
      <c r="V86" s="325">
        <v>0</v>
      </c>
      <c r="W86" s="325">
        <v>0</v>
      </c>
      <c r="X86" s="325">
        <v>0</v>
      </c>
      <c r="Y86" s="492">
        <f t="shared" si="175"/>
        <v>0</v>
      </c>
      <c r="Z86" s="492">
        <f t="shared" si="176"/>
        <v>0</v>
      </c>
      <c r="AA86" s="494">
        <f t="shared" si="177"/>
        <v>0</v>
      </c>
      <c r="AB86" s="494">
        <f t="shared" si="178"/>
        <v>0</v>
      </c>
      <c r="AC86" s="492">
        <v>0</v>
      </c>
      <c r="AD86" s="789">
        <f t="shared" si="179"/>
        <v>0</v>
      </c>
      <c r="AE86" s="715">
        <v>0</v>
      </c>
      <c r="AF86" s="491">
        <v>0</v>
      </c>
      <c r="AG86" s="326">
        <v>0</v>
      </c>
      <c r="AH86" s="326">
        <v>0</v>
      </c>
      <c r="AI86" s="326">
        <v>0</v>
      </c>
      <c r="AJ86" s="326">
        <v>0</v>
      </c>
      <c r="AK86" s="626">
        <f>SUM(AE86:AJ86)</f>
        <v>0</v>
      </c>
      <c r="AL86" s="696">
        <f>I86+AD86</f>
        <v>3632876</v>
      </c>
      <c r="AM86" s="492">
        <f>J86+U86</f>
        <v>2695012</v>
      </c>
      <c r="AN86" s="492">
        <f>Y86</f>
        <v>0</v>
      </c>
      <c r="AO86" s="492">
        <f t="shared" si="180"/>
        <v>910914</v>
      </c>
      <c r="AP86" s="492">
        <f t="shared" si="180"/>
        <v>26950</v>
      </c>
      <c r="AQ86" s="492">
        <f t="shared" si="180"/>
        <v>0</v>
      </c>
      <c r="AR86" s="626">
        <f>N86+AK86</f>
        <v>4.0454999999999997</v>
      </c>
    </row>
    <row r="87" spans="1:44" ht="12.95" customHeight="1" x14ac:dyDescent="0.25">
      <c r="A87" s="205">
        <v>19</v>
      </c>
      <c r="B87" s="206">
        <v>4441</v>
      </c>
      <c r="C87" s="206">
        <v>600074668</v>
      </c>
      <c r="D87" s="206">
        <v>46750495</v>
      </c>
      <c r="E87" s="222" t="s">
        <v>330</v>
      </c>
      <c r="F87" s="223">
        <v>3117</v>
      </c>
      <c r="G87" s="209" t="s">
        <v>284</v>
      </c>
      <c r="H87" s="209" t="s">
        <v>263</v>
      </c>
      <c r="I87" s="586">
        <f t="shared" si="171"/>
        <v>0</v>
      </c>
      <c r="J87" s="490"/>
      <c r="K87" s="431">
        <f t="shared" si="172"/>
        <v>0</v>
      </c>
      <c r="L87" s="431">
        <f t="shared" si="173"/>
        <v>0</v>
      </c>
      <c r="M87" s="325">
        <v>0</v>
      </c>
      <c r="N87" s="752"/>
      <c r="O87" s="327">
        <f t="shared" si="174"/>
        <v>0</v>
      </c>
      <c r="P87" s="492">
        <v>496060</v>
      </c>
      <c r="Q87" s="325">
        <v>0</v>
      </c>
      <c r="R87" s="325">
        <v>0</v>
      </c>
      <c r="S87" s="325">
        <v>0</v>
      </c>
      <c r="T87" s="325">
        <v>0</v>
      </c>
      <c r="U87" s="492">
        <f>O87+P87+Q87+R87+S87+T87</f>
        <v>496060</v>
      </c>
      <c r="V87" s="325">
        <v>0</v>
      </c>
      <c r="W87" s="325">
        <v>0</v>
      </c>
      <c r="X87" s="325">
        <v>0</v>
      </c>
      <c r="Y87" s="492">
        <f t="shared" si="175"/>
        <v>0</v>
      </c>
      <c r="Z87" s="492">
        <f t="shared" si="176"/>
        <v>496060</v>
      </c>
      <c r="AA87" s="494">
        <f t="shared" si="177"/>
        <v>167668</v>
      </c>
      <c r="AB87" s="494">
        <f t="shared" si="178"/>
        <v>4961</v>
      </c>
      <c r="AC87" s="492">
        <v>0</v>
      </c>
      <c r="AD87" s="789">
        <f t="shared" si="179"/>
        <v>668689</v>
      </c>
      <c r="AE87" s="715">
        <v>0</v>
      </c>
      <c r="AF87" s="491">
        <v>1.25</v>
      </c>
      <c r="AG87" s="326">
        <v>0</v>
      </c>
      <c r="AH87" s="326">
        <v>0</v>
      </c>
      <c r="AI87" s="326">
        <v>0</v>
      </c>
      <c r="AJ87" s="326">
        <v>0</v>
      </c>
      <c r="AK87" s="626">
        <f>SUM(AE87:AJ87)</f>
        <v>1.25</v>
      </c>
      <c r="AL87" s="696">
        <f>I87+AD87</f>
        <v>668689</v>
      </c>
      <c r="AM87" s="492">
        <f>J87+U87</f>
        <v>496060</v>
      </c>
      <c r="AN87" s="492">
        <f>Y87</f>
        <v>0</v>
      </c>
      <c r="AO87" s="492">
        <f t="shared" si="180"/>
        <v>167668</v>
      </c>
      <c r="AP87" s="492">
        <f t="shared" si="180"/>
        <v>4961</v>
      </c>
      <c r="AQ87" s="492">
        <f t="shared" si="180"/>
        <v>0</v>
      </c>
      <c r="AR87" s="626">
        <f>N87+AK87</f>
        <v>1.25</v>
      </c>
    </row>
    <row r="88" spans="1:44" ht="12.95" customHeight="1" x14ac:dyDescent="0.25">
      <c r="A88" s="205">
        <v>19</v>
      </c>
      <c r="B88" s="206">
        <v>4441</v>
      </c>
      <c r="C88" s="206">
        <v>600074668</v>
      </c>
      <c r="D88" s="206">
        <v>46750495</v>
      </c>
      <c r="E88" s="222" t="s">
        <v>330</v>
      </c>
      <c r="F88" s="223">
        <v>3143</v>
      </c>
      <c r="G88" s="209" t="s">
        <v>794</v>
      </c>
      <c r="H88" s="209" t="s">
        <v>262</v>
      </c>
      <c r="I88" s="586">
        <f t="shared" si="171"/>
        <v>1286116</v>
      </c>
      <c r="J88" s="490">
        <v>954092</v>
      </c>
      <c r="K88" s="431">
        <f t="shared" si="172"/>
        <v>322483</v>
      </c>
      <c r="L88" s="431">
        <f t="shared" si="173"/>
        <v>9541</v>
      </c>
      <c r="M88" s="325">
        <v>0</v>
      </c>
      <c r="N88" s="752">
        <v>1.8096000000000001</v>
      </c>
      <c r="O88" s="327">
        <f t="shared" si="174"/>
        <v>0</v>
      </c>
      <c r="P88" s="492">
        <v>0</v>
      </c>
      <c r="Q88" s="325">
        <v>0</v>
      </c>
      <c r="R88" s="325">
        <v>0</v>
      </c>
      <c r="S88" s="325">
        <v>0</v>
      </c>
      <c r="T88" s="325">
        <v>0</v>
      </c>
      <c r="U88" s="492">
        <f>O88+P88+Q88+R88+S88+T88</f>
        <v>0</v>
      </c>
      <c r="V88" s="325">
        <v>0</v>
      </c>
      <c r="W88" s="325">
        <v>0</v>
      </c>
      <c r="X88" s="325">
        <v>0</v>
      </c>
      <c r="Y88" s="492">
        <f t="shared" si="175"/>
        <v>0</v>
      </c>
      <c r="Z88" s="492">
        <f t="shared" si="176"/>
        <v>0</v>
      </c>
      <c r="AA88" s="494">
        <f t="shared" si="177"/>
        <v>0</v>
      </c>
      <c r="AB88" s="494">
        <f t="shared" si="178"/>
        <v>0</v>
      </c>
      <c r="AC88" s="492">
        <v>0</v>
      </c>
      <c r="AD88" s="789">
        <f t="shared" si="179"/>
        <v>0</v>
      </c>
      <c r="AE88" s="715">
        <v>0</v>
      </c>
      <c r="AF88" s="491">
        <v>0</v>
      </c>
      <c r="AG88" s="326">
        <v>0</v>
      </c>
      <c r="AH88" s="326">
        <v>0</v>
      </c>
      <c r="AI88" s="326">
        <v>0</v>
      </c>
      <c r="AJ88" s="326">
        <v>0</v>
      </c>
      <c r="AK88" s="626">
        <f>SUM(AE88:AJ88)</f>
        <v>0</v>
      </c>
      <c r="AL88" s="696">
        <f>I88+AD88</f>
        <v>1286116</v>
      </c>
      <c r="AM88" s="492">
        <f>J88+U88</f>
        <v>954092</v>
      </c>
      <c r="AN88" s="492">
        <f>Y88</f>
        <v>0</v>
      </c>
      <c r="AO88" s="492">
        <f t="shared" si="180"/>
        <v>322483</v>
      </c>
      <c r="AP88" s="492">
        <f t="shared" si="180"/>
        <v>9541</v>
      </c>
      <c r="AQ88" s="492">
        <f t="shared" si="180"/>
        <v>0</v>
      </c>
      <c r="AR88" s="626">
        <f>N88+AK88</f>
        <v>1.8096000000000001</v>
      </c>
    </row>
    <row r="89" spans="1:44" ht="12.95" customHeight="1" x14ac:dyDescent="0.25">
      <c r="A89" s="198">
        <v>19</v>
      </c>
      <c r="B89" s="200">
        <v>4441</v>
      </c>
      <c r="C89" s="200">
        <v>600074668</v>
      </c>
      <c r="D89" s="200">
        <v>46750495</v>
      </c>
      <c r="E89" s="219" t="s">
        <v>331</v>
      </c>
      <c r="F89" s="220"/>
      <c r="G89" s="221"/>
      <c r="H89" s="221"/>
      <c r="I89" s="688">
        <f t="shared" ref="I89:AR89" si="181">SUM(I85:I88)</f>
        <v>9441776</v>
      </c>
      <c r="J89" s="353">
        <f t="shared" si="181"/>
        <v>7004285</v>
      </c>
      <c r="K89" s="353">
        <f t="shared" si="181"/>
        <v>2367448</v>
      </c>
      <c r="L89" s="353">
        <f t="shared" si="181"/>
        <v>70043</v>
      </c>
      <c r="M89" s="353">
        <f t="shared" ref="M89" si="182">SUM(M85:M88)</f>
        <v>0</v>
      </c>
      <c r="N89" s="817">
        <f t="shared" si="181"/>
        <v>11.500299999999999</v>
      </c>
      <c r="O89" s="688">
        <f t="shared" si="181"/>
        <v>-1920</v>
      </c>
      <c r="P89" s="353">
        <f t="shared" si="181"/>
        <v>496060</v>
      </c>
      <c r="Q89" s="353">
        <f t="shared" si="181"/>
        <v>0</v>
      </c>
      <c r="R89" s="353">
        <f t="shared" si="181"/>
        <v>0</v>
      </c>
      <c r="S89" s="353">
        <f t="shared" si="181"/>
        <v>0</v>
      </c>
      <c r="T89" s="353">
        <f t="shared" si="181"/>
        <v>0</v>
      </c>
      <c r="U89" s="353">
        <f t="shared" si="181"/>
        <v>494140</v>
      </c>
      <c r="V89" s="353">
        <f t="shared" si="181"/>
        <v>1920</v>
      </c>
      <c r="W89" s="353">
        <f t="shared" si="181"/>
        <v>0</v>
      </c>
      <c r="X89" s="353">
        <f t="shared" si="181"/>
        <v>0</v>
      </c>
      <c r="Y89" s="353">
        <f t="shared" si="181"/>
        <v>1920</v>
      </c>
      <c r="Z89" s="353">
        <f t="shared" si="181"/>
        <v>496060</v>
      </c>
      <c r="AA89" s="353">
        <f t="shared" si="181"/>
        <v>167668</v>
      </c>
      <c r="AB89" s="353">
        <f t="shared" si="181"/>
        <v>4942</v>
      </c>
      <c r="AC89" s="353">
        <f t="shared" si="181"/>
        <v>0</v>
      </c>
      <c r="AD89" s="685">
        <f t="shared" si="181"/>
        <v>668670</v>
      </c>
      <c r="AE89" s="830">
        <v>0</v>
      </c>
      <c r="AF89" s="354">
        <f t="shared" si="181"/>
        <v>1.25</v>
      </c>
      <c r="AG89" s="354">
        <f t="shared" si="181"/>
        <v>0</v>
      </c>
      <c r="AH89" s="354">
        <f t="shared" si="181"/>
        <v>0</v>
      </c>
      <c r="AI89" s="354">
        <f t="shared" si="181"/>
        <v>0</v>
      </c>
      <c r="AJ89" s="354">
        <f t="shared" si="181"/>
        <v>0</v>
      </c>
      <c r="AK89" s="215">
        <f t="shared" si="181"/>
        <v>1.25</v>
      </c>
      <c r="AL89" s="688">
        <f t="shared" si="181"/>
        <v>10110446</v>
      </c>
      <c r="AM89" s="353">
        <f t="shared" si="181"/>
        <v>7498425</v>
      </c>
      <c r="AN89" s="353">
        <f t="shared" si="181"/>
        <v>1920</v>
      </c>
      <c r="AO89" s="353">
        <f t="shared" si="181"/>
        <v>2535116</v>
      </c>
      <c r="AP89" s="353">
        <f t="shared" si="181"/>
        <v>74985</v>
      </c>
      <c r="AQ89" s="353">
        <f t="shared" si="181"/>
        <v>0</v>
      </c>
      <c r="AR89" s="215">
        <f t="shared" si="181"/>
        <v>12.750299999999999</v>
      </c>
    </row>
    <row r="90" spans="1:44" ht="12.95" customHeight="1" x14ac:dyDescent="0.25">
      <c r="A90" s="205">
        <v>20</v>
      </c>
      <c r="B90" s="206">
        <v>4428</v>
      </c>
      <c r="C90" s="206">
        <v>600074242</v>
      </c>
      <c r="D90" s="206">
        <v>71010513</v>
      </c>
      <c r="E90" s="222" t="s">
        <v>332</v>
      </c>
      <c r="F90" s="223">
        <v>3111</v>
      </c>
      <c r="G90" s="209" t="s">
        <v>290</v>
      </c>
      <c r="H90" s="209" t="s">
        <v>262</v>
      </c>
      <c r="I90" s="586">
        <f t="shared" ref="I90:I91" si="183">SUM(J90:M90)</f>
        <v>1859892</v>
      </c>
      <c r="J90" s="490">
        <v>1379742</v>
      </c>
      <c r="K90" s="431">
        <f t="shared" ref="K90:K91" si="184">ROUND(J90*33.8%,0)</f>
        <v>466353</v>
      </c>
      <c r="L90" s="431">
        <f t="shared" ref="L90:L91" si="185">ROUND(J90*1%,0)</f>
        <v>13797</v>
      </c>
      <c r="M90" s="325">
        <v>0</v>
      </c>
      <c r="N90" s="752">
        <v>2.29</v>
      </c>
      <c r="O90" s="327">
        <f>V90*-1</f>
        <v>0</v>
      </c>
      <c r="P90" s="492">
        <v>0</v>
      </c>
      <c r="Q90" s="325">
        <v>0</v>
      </c>
      <c r="R90" s="325">
        <v>0</v>
      </c>
      <c r="S90" s="325">
        <v>0</v>
      </c>
      <c r="T90" s="325">
        <v>0</v>
      </c>
      <c r="U90" s="492">
        <f>O90+P90+Q90+R90+S90+T90</f>
        <v>0</v>
      </c>
      <c r="V90" s="325">
        <v>0</v>
      </c>
      <c r="W90" s="325">
        <v>0</v>
      </c>
      <c r="X90" s="325">
        <v>0</v>
      </c>
      <c r="Y90" s="492">
        <f t="shared" ref="Y90:Y91" si="186">V90+W90+X90</f>
        <v>0</v>
      </c>
      <c r="Z90" s="492">
        <f t="shared" ref="Z90:Z91" si="187">U90+Y90</f>
        <v>0</v>
      </c>
      <c r="AA90" s="494">
        <f t="shared" ref="AA90:AA91" si="188">ROUND((U90+Y90)*33.8%,0)</f>
        <v>0</v>
      </c>
      <c r="AB90" s="494">
        <f t="shared" ref="AB90:AB91" si="189">ROUND(U90*1%,0)</f>
        <v>0</v>
      </c>
      <c r="AC90" s="492">
        <v>0</v>
      </c>
      <c r="AD90" s="789">
        <f t="shared" ref="AD90:AD91" si="190">Z90+AA90+AB90+AC90</f>
        <v>0</v>
      </c>
      <c r="AE90" s="715">
        <v>0</v>
      </c>
      <c r="AF90" s="491">
        <v>0</v>
      </c>
      <c r="AG90" s="326">
        <v>0</v>
      </c>
      <c r="AH90" s="326">
        <v>0</v>
      </c>
      <c r="AI90" s="326">
        <v>0</v>
      </c>
      <c r="AJ90" s="326">
        <v>0</v>
      </c>
      <c r="AK90" s="626">
        <f>SUM(AE90:AJ90)</f>
        <v>0</v>
      </c>
      <c r="AL90" s="696">
        <f>I90+AD90</f>
        <v>1859892</v>
      </c>
      <c r="AM90" s="492">
        <f>J90+U90</f>
        <v>1379742</v>
      </c>
      <c r="AN90" s="492">
        <f>Y90</f>
        <v>0</v>
      </c>
      <c r="AO90" s="492">
        <f t="shared" ref="AO90:AQ91" si="191">K90+AA90</f>
        <v>466353</v>
      </c>
      <c r="AP90" s="492">
        <f t="shared" si="191"/>
        <v>13797</v>
      </c>
      <c r="AQ90" s="492">
        <f t="shared" si="191"/>
        <v>0</v>
      </c>
      <c r="AR90" s="626">
        <f>N90+AK90</f>
        <v>2.29</v>
      </c>
    </row>
    <row r="91" spans="1:44" ht="12.95" customHeight="1" x14ac:dyDescent="0.25">
      <c r="A91" s="205">
        <v>20</v>
      </c>
      <c r="B91" s="206">
        <v>4428</v>
      </c>
      <c r="C91" s="206">
        <v>600074242</v>
      </c>
      <c r="D91" s="206">
        <v>71010513</v>
      </c>
      <c r="E91" s="222" t="s">
        <v>332</v>
      </c>
      <c r="F91" s="223">
        <v>3111</v>
      </c>
      <c r="G91" s="224" t="s">
        <v>284</v>
      </c>
      <c r="H91" s="209" t="s">
        <v>263</v>
      </c>
      <c r="I91" s="586">
        <f t="shared" si="183"/>
        <v>0</v>
      </c>
      <c r="J91" s="490"/>
      <c r="K91" s="431">
        <f t="shared" si="184"/>
        <v>0</v>
      </c>
      <c r="L91" s="431">
        <f t="shared" si="185"/>
        <v>0</v>
      </c>
      <c r="M91" s="325">
        <v>0</v>
      </c>
      <c r="N91" s="752"/>
      <c r="O91" s="327">
        <f>V91*-1</f>
        <v>0</v>
      </c>
      <c r="P91" s="492">
        <v>0</v>
      </c>
      <c r="Q91" s="325">
        <v>0</v>
      </c>
      <c r="R91" s="325">
        <v>0</v>
      </c>
      <c r="S91" s="325">
        <v>0</v>
      </c>
      <c r="T91" s="325">
        <v>0</v>
      </c>
      <c r="U91" s="492">
        <f>O91+P91+Q91+R91+S91+T91</f>
        <v>0</v>
      </c>
      <c r="V91" s="325">
        <v>0</v>
      </c>
      <c r="W91" s="325">
        <v>0</v>
      </c>
      <c r="X91" s="325">
        <v>0</v>
      </c>
      <c r="Y91" s="492">
        <f t="shared" si="186"/>
        <v>0</v>
      </c>
      <c r="Z91" s="492">
        <f t="shared" si="187"/>
        <v>0</v>
      </c>
      <c r="AA91" s="494">
        <f t="shared" si="188"/>
        <v>0</v>
      </c>
      <c r="AB91" s="494">
        <f t="shared" si="189"/>
        <v>0</v>
      </c>
      <c r="AC91" s="492">
        <v>0</v>
      </c>
      <c r="AD91" s="789">
        <f t="shared" si="190"/>
        <v>0</v>
      </c>
      <c r="AE91" s="715">
        <v>0</v>
      </c>
      <c r="AF91" s="491">
        <v>0</v>
      </c>
      <c r="AG91" s="326">
        <v>0</v>
      </c>
      <c r="AH91" s="326">
        <v>0</v>
      </c>
      <c r="AI91" s="326">
        <v>0</v>
      </c>
      <c r="AJ91" s="326">
        <v>0</v>
      </c>
      <c r="AK91" s="626">
        <f>SUM(AE91:AJ91)</f>
        <v>0</v>
      </c>
      <c r="AL91" s="696">
        <f>I91+AD91</f>
        <v>0</v>
      </c>
      <c r="AM91" s="492">
        <f>J91+U91</f>
        <v>0</v>
      </c>
      <c r="AN91" s="492">
        <f>Y91</f>
        <v>0</v>
      </c>
      <c r="AO91" s="492">
        <f t="shared" si="191"/>
        <v>0</v>
      </c>
      <c r="AP91" s="492">
        <f t="shared" si="191"/>
        <v>0</v>
      </c>
      <c r="AQ91" s="492">
        <f t="shared" si="191"/>
        <v>0</v>
      </c>
      <c r="AR91" s="626">
        <f>N91+AK91</f>
        <v>0</v>
      </c>
    </row>
    <row r="92" spans="1:44" ht="12.95" customHeight="1" x14ac:dyDescent="0.25">
      <c r="A92" s="198">
        <v>20</v>
      </c>
      <c r="B92" s="200">
        <v>4428</v>
      </c>
      <c r="C92" s="200">
        <v>600074242</v>
      </c>
      <c r="D92" s="200">
        <v>71010513</v>
      </c>
      <c r="E92" s="219" t="s">
        <v>333</v>
      </c>
      <c r="F92" s="220"/>
      <c r="G92" s="221"/>
      <c r="H92" s="221"/>
      <c r="I92" s="688">
        <f t="shared" ref="I92:AR92" si="192">SUM(I90:I91)</f>
        <v>1859892</v>
      </c>
      <c r="J92" s="353">
        <f t="shared" si="192"/>
        <v>1379742</v>
      </c>
      <c r="K92" s="353">
        <f t="shared" si="192"/>
        <v>466353</v>
      </c>
      <c r="L92" s="353">
        <f t="shared" si="192"/>
        <v>13797</v>
      </c>
      <c r="M92" s="353">
        <f t="shared" ref="M92" si="193">SUM(M90:M91)</f>
        <v>0</v>
      </c>
      <c r="N92" s="817">
        <f t="shared" si="192"/>
        <v>2.29</v>
      </c>
      <c r="O92" s="688">
        <f t="shared" si="192"/>
        <v>0</v>
      </c>
      <c r="P92" s="353">
        <f t="shared" si="192"/>
        <v>0</v>
      </c>
      <c r="Q92" s="353">
        <f t="shared" si="192"/>
        <v>0</v>
      </c>
      <c r="R92" s="353">
        <f t="shared" si="192"/>
        <v>0</v>
      </c>
      <c r="S92" s="353">
        <f t="shared" si="192"/>
        <v>0</v>
      </c>
      <c r="T92" s="353">
        <f t="shared" si="192"/>
        <v>0</v>
      </c>
      <c r="U92" s="353">
        <f t="shared" si="192"/>
        <v>0</v>
      </c>
      <c r="V92" s="353">
        <f t="shared" si="192"/>
        <v>0</v>
      </c>
      <c r="W92" s="353">
        <f t="shared" si="192"/>
        <v>0</v>
      </c>
      <c r="X92" s="353">
        <f t="shared" si="192"/>
        <v>0</v>
      </c>
      <c r="Y92" s="353">
        <f t="shared" si="192"/>
        <v>0</v>
      </c>
      <c r="Z92" s="353">
        <f t="shared" si="192"/>
        <v>0</v>
      </c>
      <c r="AA92" s="353">
        <f t="shared" si="192"/>
        <v>0</v>
      </c>
      <c r="AB92" s="353">
        <f t="shared" si="192"/>
        <v>0</v>
      </c>
      <c r="AC92" s="353">
        <f t="shared" si="192"/>
        <v>0</v>
      </c>
      <c r="AD92" s="685">
        <f t="shared" si="192"/>
        <v>0</v>
      </c>
      <c r="AE92" s="830">
        <v>0</v>
      </c>
      <c r="AF92" s="354">
        <f t="shared" si="192"/>
        <v>0</v>
      </c>
      <c r="AG92" s="354">
        <f t="shared" si="192"/>
        <v>0</v>
      </c>
      <c r="AH92" s="354">
        <f t="shared" si="192"/>
        <v>0</v>
      </c>
      <c r="AI92" s="354">
        <f t="shared" si="192"/>
        <v>0</v>
      </c>
      <c r="AJ92" s="354">
        <f t="shared" si="192"/>
        <v>0</v>
      </c>
      <c r="AK92" s="215">
        <f t="shared" si="192"/>
        <v>0</v>
      </c>
      <c r="AL92" s="688">
        <f t="shared" si="192"/>
        <v>1859892</v>
      </c>
      <c r="AM92" s="353">
        <f t="shared" si="192"/>
        <v>1379742</v>
      </c>
      <c r="AN92" s="353">
        <f t="shared" si="192"/>
        <v>0</v>
      </c>
      <c r="AO92" s="353">
        <f t="shared" si="192"/>
        <v>466353</v>
      </c>
      <c r="AP92" s="353">
        <f t="shared" si="192"/>
        <v>13797</v>
      </c>
      <c r="AQ92" s="353">
        <f t="shared" si="192"/>
        <v>0</v>
      </c>
      <c r="AR92" s="215">
        <f t="shared" si="192"/>
        <v>2.29</v>
      </c>
    </row>
    <row r="93" spans="1:44" ht="12.95" customHeight="1" x14ac:dyDescent="0.25">
      <c r="A93" s="205">
        <v>21</v>
      </c>
      <c r="B93" s="206">
        <v>4463</v>
      </c>
      <c r="C93" s="206">
        <v>600074684</v>
      </c>
      <c r="D93" s="206">
        <v>71010467</v>
      </c>
      <c r="E93" s="222" t="s">
        <v>334</v>
      </c>
      <c r="F93" s="223">
        <v>3117</v>
      </c>
      <c r="G93" s="224" t="s">
        <v>294</v>
      </c>
      <c r="H93" s="209" t="s">
        <v>262</v>
      </c>
      <c r="I93" s="586">
        <f t="shared" ref="I93:I95" si="194">SUM(J93:M93)</f>
        <v>2710054</v>
      </c>
      <c r="J93" s="490">
        <v>2010426</v>
      </c>
      <c r="K93" s="431">
        <f t="shared" ref="K93:K95" si="195">ROUND(J93*33.8%,0)</f>
        <v>679524</v>
      </c>
      <c r="L93" s="431">
        <f t="shared" ref="L93:L95" si="196">ROUND(J93*1%,0)</f>
        <v>20104</v>
      </c>
      <c r="M93" s="325">
        <v>0</v>
      </c>
      <c r="N93" s="752">
        <v>2.6364000000000001</v>
      </c>
      <c r="O93" s="327">
        <f>V93*-1</f>
        <v>0</v>
      </c>
      <c r="P93" s="492">
        <v>0</v>
      </c>
      <c r="Q93" s="325">
        <v>0</v>
      </c>
      <c r="R93" s="325">
        <v>0</v>
      </c>
      <c r="S93" s="325">
        <v>0</v>
      </c>
      <c r="T93" s="325">
        <v>0</v>
      </c>
      <c r="U93" s="492">
        <f>O93+P93+Q93+R93+S93+T93</f>
        <v>0</v>
      </c>
      <c r="V93" s="325">
        <v>0</v>
      </c>
      <c r="W93" s="325">
        <v>0</v>
      </c>
      <c r="X93" s="325">
        <v>0</v>
      </c>
      <c r="Y93" s="492">
        <f t="shared" ref="Y93:Y95" si="197">V93+W93+X93</f>
        <v>0</v>
      </c>
      <c r="Z93" s="492">
        <f t="shared" ref="Z93:Z95" si="198">U93+Y93</f>
        <v>0</v>
      </c>
      <c r="AA93" s="494">
        <f t="shared" ref="AA93:AA95" si="199">ROUND((U93+Y93)*33.8%,0)</f>
        <v>0</v>
      </c>
      <c r="AB93" s="494">
        <f t="shared" ref="AB93:AB95" si="200">ROUND(U93*1%,0)</f>
        <v>0</v>
      </c>
      <c r="AC93" s="492">
        <v>0</v>
      </c>
      <c r="AD93" s="789">
        <f t="shared" ref="AD93:AD95" si="201">Z93+AA93+AB93+AC93</f>
        <v>0</v>
      </c>
      <c r="AE93" s="715">
        <v>0</v>
      </c>
      <c r="AF93" s="491">
        <v>0</v>
      </c>
      <c r="AG93" s="326">
        <v>0</v>
      </c>
      <c r="AH93" s="326">
        <v>0</v>
      </c>
      <c r="AI93" s="326">
        <v>0</v>
      </c>
      <c r="AJ93" s="326">
        <v>0</v>
      </c>
      <c r="AK93" s="626">
        <f>SUM(AE93:AJ93)</f>
        <v>0</v>
      </c>
      <c r="AL93" s="696">
        <f>I93+AD93</f>
        <v>2710054</v>
      </c>
      <c r="AM93" s="492">
        <f>J93+U93</f>
        <v>2010426</v>
      </c>
      <c r="AN93" s="492">
        <f>Y93</f>
        <v>0</v>
      </c>
      <c r="AO93" s="492">
        <f t="shared" ref="AO93:AQ95" si="202">K93+AA93</f>
        <v>679524</v>
      </c>
      <c r="AP93" s="492">
        <f t="shared" si="202"/>
        <v>20104</v>
      </c>
      <c r="AQ93" s="492">
        <f t="shared" si="202"/>
        <v>0</v>
      </c>
      <c r="AR93" s="626">
        <f>N93+AK93</f>
        <v>2.6364000000000001</v>
      </c>
    </row>
    <row r="94" spans="1:44" ht="12.95" customHeight="1" x14ac:dyDescent="0.25">
      <c r="A94" s="205">
        <v>21</v>
      </c>
      <c r="B94" s="206">
        <v>4463</v>
      </c>
      <c r="C94" s="206">
        <v>600074684</v>
      </c>
      <c r="D94" s="206">
        <v>71010467</v>
      </c>
      <c r="E94" s="222" t="s">
        <v>334</v>
      </c>
      <c r="F94" s="223">
        <v>3117</v>
      </c>
      <c r="G94" s="209" t="s">
        <v>284</v>
      </c>
      <c r="H94" s="209" t="s">
        <v>263</v>
      </c>
      <c r="I94" s="586">
        <f t="shared" si="194"/>
        <v>0</v>
      </c>
      <c r="J94" s="490"/>
      <c r="K94" s="431">
        <f t="shared" si="195"/>
        <v>0</v>
      </c>
      <c r="L94" s="431">
        <f t="shared" si="196"/>
        <v>0</v>
      </c>
      <c r="M94" s="325">
        <v>0</v>
      </c>
      <c r="N94" s="752"/>
      <c r="O94" s="327">
        <f>V94*-1</f>
        <v>0</v>
      </c>
      <c r="P94" s="492">
        <v>198424</v>
      </c>
      <c r="Q94" s="325">
        <v>0</v>
      </c>
      <c r="R94" s="325">
        <v>0</v>
      </c>
      <c r="S94" s="325">
        <v>0</v>
      </c>
      <c r="T94" s="325">
        <v>0</v>
      </c>
      <c r="U94" s="492">
        <f>O94+P94+Q94+R94+S94+T94</f>
        <v>198424</v>
      </c>
      <c r="V94" s="325">
        <v>0</v>
      </c>
      <c r="W94" s="325">
        <v>0</v>
      </c>
      <c r="X94" s="325">
        <v>0</v>
      </c>
      <c r="Y94" s="492">
        <f t="shared" si="197"/>
        <v>0</v>
      </c>
      <c r="Z94" s="492">
        <f t="shared" si="198"/>
        <v>198424</v>
      </c>
      <c r="AA94" s="494">
        <f t="shared" si="199"/>
        <v>67067</v>
      </c>
      <c r="AB94" s="494">
        <f t="shared" si="200"/>
        <v>1984</v>
      </c>
      <c r="AC94" s="492">
        <v>0</v>
      </c>
      <c r="AD94" s="789">
        <f t="shared" si="201"/>
        <v>267475</v>
      </c>
      <c r="AE94" s="715">
        <v>0</v>
      </c>
      <c r="AF94" s="491">
        <v>0.5</v>
      </c>
      <c r="AG94" s="326">
        <v>0</v>
      </c>
      <c r="AH94" s="326">
        <v>0</v>
      </c>
      <c r="AI94" s="326">
        <v>0</v>
      </c>
      <c r="AJ94" s="326">
        <v>0</v>
      </c>
      <c r="AK94" s="626">
        <f>SUM(AE94:AJ94)</f>
        <v>0.5</v>
      </c>
      <c r="AL94" s="696">
        <f>I94+AD94</f>
        <v>267475</v>
      </c>
      <c r="AM94" s="492">
        <f>J94+U94</f>
        <v>198424</v>
      </c>
      <c r="AN94" s="492">
        <f>Y94</f>
        <v>0</v>
      </c>
      <c r="AO94" s="492">
        <f t="shared" si="202"/>
        <v>67067</v>
      </c>
      <c r="AP94" s="492">
        <f t="shared" si="202"/>
        <v>1984</v>
      </c>
      <c r="AQ94" s="492">
        <f t="shared" si="202"/>
        <v>0</v>
      </c>
      <c r="AR94" s="626">
        <f>N94+AK94</f>
        <v>0.5</v>
      </c>
    </row>
    <row r="95" spans="1:44" ht="14.25" customHeight="1" x14ac:dyDescent="0.25">
      <c r="A95" s="205">
        <v>21</v>
      </c>
      <c r="B95" s="206">
        <v>4463</v>
      </c>
      <c r="C95" s="206">
        <v>600074684</v>
      </c>
      <c r="D95" s="206">
        <v>71010467</v>
      </c>
      <c r="E95" s="222" t="s">
        <v>334</v>
      </c>
      <c r="F95" s="223">
        <v>3143</v>
      </c>
      <c r="G95" s="209" t="s">
        <v>795</v>
      </c>
      <c r="H95" s="209" t="s">
        <v>262</v>
      </c>
      <c r="I95" s="586">
        <f t="shared" si="194"/>
        <v>648750</v>
      </c>
      <c r="J95" s="490">
        <v>481268</v>
      </c>
      <c r="K95" s="431">
        <f t="shared" si="195"/>
        <v>162669</v>
      </c>
      <c r="L95" s="431">
        <f t="shared" si="196"/>
        <v>4813</v>
      </c>
      <c r="M95" s="325">
        <v>0</v>
      </c>
      <c r="N95" s="752">
        <v>0.85709999999999997</v>
      </c>
      <c r="O95" s="327">
        <f>V95*-1</f>
        <v>0</v>
      </c>
      <c r="P95" s="492">
        <v>0</v>
      </c>
      <c r="Q95" s="325">
        <v>0</v>
      </c>
      <c r="R95" s="325">
        <v>0</v>
      </c>
      <c r="S95" s="325">
        <v>0</v>
      </c>
      <c r="T95" s="325">
        <v>0</v>
      </c>
      <c r="U95" s="492">
        <f>O95+P95+Q95+R95+S95+T95</f>
        <v>0</v>
      </c>
      <c r="V95" s="325">
        <v>0</v>
      </c>
      <c r="W95" s="325">
        <v>0</v>
      </c>
      <c r="X95" s="325">
        <v>0</v>
      </c>
      <c r="Y95" s="492">
        <f t="shared" si="197"/>
        <v>0</v>
      </c>
      <c r="Z95" s="492">
        <f t="shared" si="198"/>
        <v>0</v>
      </c>
      <c r="AA95" s="494">
        <f t="shared" si="199"/>
        <v>0</v>
      </c>
      <c r="AB95" s="494">
        <f t="shared" si="200"/>
        <v>0</v>
      </c>
      <c r="AC95" s="492">
        <v>0</v>
      </c>
      <c r="AD95" s="789">
        <f t="shared" si="201"/>
        <v>0</v>
      </c>
      <c r="AE95" s="715">
        <v>0</v>
      </c>
      <c r="AF95" s="491">
        <v>0</v>
      </c>
      <c r="AG95" s="326">
        <v>0</v>
      </c>
      <c r="AH95" s="326">
        <v>0</v>
      </c>
      <c r="AI95" s="326">
        <v>0</v>
      </c>
      <c r="AJ95" s="326">
        <v>0</v>
      </c>
      <c r="AK95" s="626">
        <f>SUM(AE95:AJ95)</f>
        <v>0</v>
      </c>
      <c r="AL95" s="696">
        <f>I95+AD95</f>
        <v>648750</v>
      </c>
      <c r="AM95" s="492">
        <f>J95+U95</f>
        <v>481268</v>
      </c>
      <c r="AN95" s="492">
        <f>Y95</f>
        <v>0</v>
      </c>
      <c r="AO95" s="492">
        <f t="shared" si="202"/>
        <v>162669</v>
      </c>
      <c r="AP95" s="492">
        <f t="shared" si="202"/>
        <v>4813</v>
      </c>
      <c r="AQ95" s="492">
        <f t="shared" si="202"/>
        <v>0</v>
      </c>
      <c r="AR95" s="626">
        <f>N95+AK95</f>
        <v>0.85709999999999997</v>
      </c>
    </row>
    <row r="96" spans="1:44" ht="12.75" customHeight="1" thickBot="1" x14ac:dyDescent="0.3">
      <c r="A96" s="225">
        <v>21</v>
      </c>
      <c r="B96" s="226">
        <v>4463</v>
      </c>
      <c r="C96" s="226">
        <v>600074684</v>
      </c>
      <c r="D96" s="226">
        <v>71010467</v>
      </c>
      <c r="E96" s="219" t="s">
        <v>335</v>
      </c>
      <c r="F96" s="220"/>
      <c r="G96" s="221"/>
      <c r="H96" s="221"/>
      <c r="I96" s="820">
        <f t="shared" ref="I96:AR96" si="203">SUM(I93:I95)</f>
        <v>3358804</v>
      </c>
      <c r="J96" s="604">
        <f t="shared" si="203"/>
        <v>2491694</v>
      </c>
      <c r="K96" s="604">
        <f t="shared" si="203"/>
        <v>842193</v>
      </c>
      <c r="L96" s="604">
        <f t="shared" si="203"/>
        <v>24917</v>
      </c>
      <c r="M96" s="376">
        <f t="shared" ref="M96" si="204">SUM(M93:M95)</f>
        <v>0</v>
      </c>
      <c r="N96" s="821">
        <f t="shared" si="203"/>
        <v>3.4935</v>
      </c>
      <c r="O96" s="689">
        <f t="shared" si="203"/>
        <v>0</v>
      </c>
      <c r="P96" s="376">
        <f t="shared" si="203"/>
        <v>198424</v>
      </c>
      <c r="Q96" s="376">
        <f t="shared" si="203"/>
        <v>0</v>
      </c>
      <c r="R96" s="376">
        <f t="shared" si="203"/>
        <v>0</v>
      </c>
      <c r="S96" s="376">
        <f t="shared" si="203"/>
        <v>0</v>
      </c>
      <c r="T96" s="376">
        <f t="shared" si="203"/>
        <v>0</v>
      </c>
      <c r="U96" s="376">
        <f t="shared" si="203"/>
        <v>198424</v>
      </c>
      <c r="V96" s="376">
        <f t="shared" si="203"/>
        <v>0</v>
      </c>
      <c r="W96" s="376">
        <f t="shared" si="203"/>
        <v>0</v>
      </c>
      <c r="X96" s="376">
        <f t="shared" si="203"/>
        <v>0</v>
      </c>
      <c r="Y96" s="376">
        <f t="shared" si="203"/>
        <v>0</v>
      </c>
      <c r="Z96" s="376">
        <f t="shared" si="203"/>
        <v>198424</v>
      </c>
      <c r="AA96" s="376">
        <f t="shared" si="203"/>
        <v>67067</v>
      </c>
      <c r="AB96" s="376">
        <f t="shared" si="203"/>
        <v>1984</v>
      </c>
      <c r="AC96" s="376">
        <f t="shared" si="203"/>
        <v>0</v>
      </c>
      <c r="AD96" s="826">
        <f t="shared" si="203"/>
        <v>267475</v>
      </c>
      <c r="AE96" s="831">
        <v>0</v>
      </c>
      <c r="AF96" s="377">
        <f t="shared" si="203"/>
        <v>0.5</v>
      </c>
      <c r="AG96" s="377">
        <f t="shared" si="203"/>
        <v>0</v>
      </c>
      <c r="AH96" s="377">
        <f t="shared" si="203"/>
        <v>0</v>
      </c>
      <c r="AI96" s="377">
        <f t="shared" si="203"/>
        <v>0</v>
      </c>
      <c r="AJ96" s="377">
        <f t="shared" si="203"/>
        <v>0</v>
      </c>
      <c r="AK96" s="383">
        <f t="shared" si="203"/>
        <v>0.5</v>
      </c>
      <c r="AL96" s="689">
        <f t="shared" si="203"/>
        <v>3626279</v>
      </c>
      <c r="AM96" s="376">
        <f t="shared" si="203"/>
        <v>2690118</v>
      </c>
      <c r="AN96" s="376">
        <f t="shared" si="203"/>
        <v>0</v>
      </c>
      <c r="AO96" s="376">
        <f t="shared" si="203"/>
        <v>909260</v>
      </c>
      <c r="AP96" s="376">
        <f t="shared" si="203"/>
        <v>26901</v>
      </c>
      <c r="AQ96" s="376">
        <f t="shared" si="203"/>
        <v>0</v>
      </c>
      <c r="AR96" s="383">
        <f t="shared" si="203"/>
        <v>3.9935</v>
      </c>
    </row>
    <row r="97" spans="1:44" ht="12.75" customHeight="1" thickBot="1" x14ac:dyDescent="0.3">
      <c r="A97" s="227"/>
      <c r="B97" s="228"/>
      <c r="C97" s="229"/>
      <c r="D97" s="228"/>
      <c r="E97" s="230" t="s">
        <v>732</v>
      </c>
      <c r="F97" s="229"/>
      <c r="G97" s="231"/>
      <c r="H97" s="232"/>
      <c r="I97" s="605">
        <f t="shared" ref="I97:AR97" si="205">I96+I92+I89+I84+I79+I74+I69+I64+I59+I54+I49+I47+I42+I39+I37+I35+I30+I25+I21+I17+I13</f>
        <v>290633195</v>
      </c>
      <c r="J97" s="606">
        <f t="shared" si="205"/>
        <v>215603259</v>
      </c>
      <c r="K97" s="606">
        <f t="shared" si="205"/>
        <v>72873902</v>
      </c>
      <c r="L97" s="606">
        <f t="shared" si="205"/>
        <v>2156034</v>
      </c>
      <c r="M97" s="406">
        <f t="shared" ref="M97" si="206">M96+M92+M89+M84+M79+M74+M69+M64+M59+M54+M49+M47+M42+M39+M37+M35+M30+M25+M21+M17+M13</f>
        <v>0</v>
      </c>
      <c r="N97" s="741">
        <f t="shared" si="205"/>
        <v>325.2731</v>
      </c>
      <c r="O97" s="406">
        <f t="shared" si="205"/>
        <v>-668520</v>
      </c>
      <c r="P97" s="406">
        <f>P96+P92+P89+P84+P79+P74+P69+P64+P59+P54+P49+P47+P42+P39+P37+P35+P30+P25+P21+P17+P13</f>
        <v>19022553</v>
      </c>
      <c r="Q97" s="406">
        <f t="shared" si="205"/>
        <v>0</v>
      </c>
      <c r="R97" s="436">
        <f t="shared" si="205"/>
        <v>0</v>
      </c>
      <c r="S97" s="406">
        <f t="shared" si="205"/>
        <v>0</v>
      </c>
      <c r="T97" s="406">
        <f t="shared" si="205"/>
        <v>0</v>
      </c>
      <c r="U97" s="406">
        <f t="shared" si="205"/>
        <v>18354033</v>
      </c>
      <c r="V97" s="406">
        <f t="shared" si="205"/>
        <v>668520</v>
      </c>
      <c r="W97" s="406">
        <f t="shared" si="205"/>
        <v>500683</v>
      </c>
      <c r="X97" s="406">
        <f t="shared" si="205"/>
        <v>0</v>
      </c>
      <c r="Y97" s="406">
        <f t="shared" si="205"/>
        <v>1169203</v>
      </c>
      <c r="Z97" s="406">
        <f t="shared" si="205"/>
        <v>19523236</v>
      </c>
      <c r="AA97" s="406">
        <f t="shared" si="205"/>
        <v>6598852</v>
      </c>
      <c r="AB97" s="406">
        <f t="shared" si="205"/>
        <v>183539</v>
      </c>
      <c r="AC97" s="406">
        <f t="shared" si="205"/>
        <v>0</v>
      </c>
      <c r="AD97" s="827">
        <f t="shared" si="205"/>
        <v>26305627</v>
      </c>
      <c r="AE97" s="832">
        <f t="shared" si="205"/>
        <v>-0.51</v>
      </c>
      <c r="AF97" s="411">
        <f t="shared" si="205"/>
        <v>49.27</v>
      </c>
      <c r="AG97" s="411">
        <f t="shared" si="205"/>
        <v>0</v>
      </c>
      <c r="AH97" s="411">
        <f t="shared" si="205"/>
        <v>0</v>
      </c>
      <c r="AI97" s="411">
        <f t="shared" si="205"/>
        <v>0</v>
      </c>
      <c r="AJ97" s="411">
        <f t="shared" si="205"/>
        <v>0</v>
      </c>
      <c r="AK97" s="833">
        <f t="shared" si="205"/>
        <v>48.760000000000005</v>
      </c>
      <c r="AL97" s="416">
        <f>AL96+AL92+AL89+AL84+AL79+AL74+AL69+AL64+AL59+AL54+AL49+AL47+AL42+AL39+AL37+AL35+AL30+AL25+AL21+AL17+AL13</f>
        <v>316938822</v>
      </c>
      <c r="AM97" s="406">
        <f t="shared" si="205"/>
        <v>233957292</v>
      </c>
      <c r="AN97" s="406">
        <f t="shared" si="205"/>
        <v>1169203</v>
      </c>
      <c r="AO97" s="406">
        <f t="shared" si="205"/>
        <v>79472754</v>
      </c>
      <c r="AP97" s="406">
        <f t="shared" si="205"/>
        <v>2339573</v>
      </c>
      <c r="AQ97" s="406">
        <f t="shared" si="205"/>
        <v>0</v>
      </c>
      <c r="AR97" s="833">
        <f t="shared" si="205"/>
        <v>374.03310000000005</v>
      </c>
    </row>
    <row r="98" spans="1:44" ht="12.95" customHeight="1" x14ac:dyDescent="0.25">
      <c r="B98" s="234"/>
      <c r="D98" s="234"/>
      <c r="E98" s="235"/>
      <c r="I98" s="328">
        <f>SUM(J97:M97)</f>
        <v>290633195</v>
      </c>
      <c r="J98" s="328"/>
      <c r="K98" s="328"/>
      <c r="L98" s="328"/>
      <c r="M98" s="328"/>
      <c r="N98" s="742"/>
      <c r="O98" s="328">
        <f>V97</f>
        <v>668520</v>
      </c>
      <c r="P98" s="329"/>
      <c r="Q98" s="329"/>
      <c r="R98" s="329"/>
      <c r="S98" s="328"/>
      <c r="T98" s="329"/>
      <c r="U98" s="330">
        <f>SUM(O97:T97)</f>
        <v>18354033</v>
      </c>
      <c r="V98" s="330">
        <f>O97</f>
        <v>-668520</v>
      </c>
      <c r="W98" s="331"/>
      <c r="X98" s="331"/>
      <c r="Y98" s="330">
        <f>SUM(V97:X97)</f>
        <v>1169203</v>
      </c>
      <c r="Z98" s="330">
        <f>U97+Y97</f>
        <v>19523236</v>
      </c>
      <c r="AA98" s="332"/>
      <c r="AB98" s="332"/>
      <c r="AC98" s="330"/>
      <c r="AD98" s="330">
        <f>SUM(Z97:AC97)</f>
        <v>26305627</v>
      </c>
      <c r="AE98" s="333"/>
      <c r="AF98" s="333"/>
      <c r="AG98" s="333"/>
      <c r="AH98" s="333"/>
      <c r="AI98" s="381"/>
      <c r="AJ98" s="333"/>
      <c r="AK98" s="381">
        <f>SUM(AE97:AJ97)</f>
        <v>48.760000000000005</v>
      </c>
      <c r="AL98" s="328">
        <f>SUM(AM97:AQ97)</f>
        <v>316938822</v>
      </c>
      <c r="AM98" s="328"/>
      <c r="AN98" s="58"/>
      <c r="AO98" s="330"/>
      <c r="AP98" s="330"/>
      <c r="AQ98" s="330"/>
      <c r="AR98" s="329"/>
    </row>
    <row r="99" spans="1:44" ht="12.95" customHeight="1" thickBot="1" x14ac:dyDescent="0.3">
      <c r="B99" s="234"/>
      <c r="D99" s="234"/>
      <c r="E99" s="175"/>
      <c r="I99" s="328">
        <f>SUM(J100:M100)</f>
        <v>290633195</v>
      </c>
      <c r="J99" s="328"/>
      <c r="K99" s="328"/>
      <c r="L99" s="328"/>
      <c r="M99" s="328"/>
      <c r="N99" s="742"/>
      <c r="O99" s="328">
        <f>V100</f>
        <v>668520</v>
      </c>
      <c r="P99" s="329"/>
      <c r="Q99" s="329"/>
      <c r="R99" s="329"/>
      <c r="S99" s="328"/>
      <c r="T99" s="329"/>
      <c r="U99" s="330">
        <f>SUM(O100:T100)</f>
        <v>18354033</v>
      </c>
      <c r="V99" s="330"/>
      <c r="W99" s="331"/>
      <c r="X99" s="331"/>
      <c r="Y99" s="330">
        <f>SUM(V100:X100)</f>
        <v>1169203</v>
      </c>
      <c r="Z99" s="330">
        <f>U100+Y100</f>
        <v>19523236</v>
      </c>
      <c r="AA99" s="332"/>
      <c r="AB99" s="332"/>
      <c r="AC99" s="330"/>
      <c r="AD99" s="330">
        <f>SUM(Z100:AC100)</f>
        <v>26305627</v>
      </c>
      <c r="AE99" s="333"/>
      <c r="AF99" s="333"/>
      <c r="AG99" s="333"/>
      <c r="AH99" s="333"/>
      <c r="AI99" s="381"/>
      <c r="AJ99" s="333"/>
      <c r="AK99" s="381">
        <f>SUM(AE100:AJ100)</f>
        <v>48.760000000000005</v>
      </c>
      <c r="AL99" s="328">
        <f>AM100+AN100+AO100+AP100</f>
        <v>316938822</v>
      </c>
      <c r="AM99" s="328"/>
      <c r="AN99" s="58"/>
      <c r="AO99" s="48"/>
      <c r="AP99" s="48"/>
      <c r="AQ99" s="48"/>
      <c r="AR99" s="329"/>
    </row>
    <row r="100" spans="1:44" s="60" customFormat="1" ht="12.95" customHeight="1" thickBot="1" x14ac:dyDescent="0.3">
      <c r="D100" s="236"/>
      <c r="E100" s="237"/>
      <c r="F100" s="236"/>
      <c r="G100" s="238"/>
      <c r="H100" s="360" t="s">
        <v>0</v>
      </c>
      <c r="I100" s="96">
        <f t="shared" ref="I100:AR100" si="207">SUM(I101:I110)</f>
        <v>290633195</v>
      </c>
      <c r="J100" s="31">
        <f t="shared" si="207"/>
        <v>215603259</v>
      </c>
      <c r="K100" s="31">
        <f t="shared" si="207"/>
        <v>72873902</v>
      </c>
      <c r="L100" s="31">
        <f t="shared" si="207"/>
        <v>2156034</v>
      </c>
      <c r="M100" s="31">
        <f t="shared" si="207"/>
        <v>0</v>
      </c>
      <c r="N100" s="692">
        <f t="shared" si="207"/>
        <v>325.2731</v>
      </c>
      <c r="O100" s="101">
        <f t="shared" si="207"/>
        <v>-668520</v>
      </c>
      <c r="P100" s="31">
        <f t="shared" si="207"/>
        <v>19022553</v>
      </c>
      <c r="Q100" s="31">
        <f t="shared" si="207"/>
        <v>0</v>
      </c>
      <c r="R100" s="31">
        <f t="shared" si="207"/>
        <v>0</v>
      </c>
      <c r="S100" s="31">
        <f t="shared" si="207"/>
        <v>0</v>
      </c>
      <c r="T100" s="31">
        <f t="shared" si="207"/>
        <v>0</v>
      </c>
      <c r="U100" s="31">
        <f t="shared" si="207"/>
        <v>18354033</v>
      </c>
      <c r="V100" s="31">
        <f t="shared" si="207"/>
        <v>668520</v>
      </c>
      <c r="W100" s="31">
        <f t="shared" si="207"/>
        <v>500683</v>
      </c>
      <c r="X100" s="31">
        <f t="shared" si="207"/>
        <v>0</v>
      </c>
      <c r="Y100" s="31">
        <f t="shared" si="207"/>
        <v>1169203</v>
      </c>
      <c r="Z100" s="31">
        <f t="shared" si="207"/>
        <v>19523236</v>
      </c>
      <c r="AA100" s="31">
        <f t="shared" si="207"/>
        <v>6598852</v>
      </c>
      <c r="AB100" s="31">
        <f t="shared" si="207"/>
        <v>183539</v>
      </c>
      <c r="AC100" s="31">
        <f t="shared" si="207"/>
        <v>0</v>
      </c>
      <c r="AD100" s="642">
        <f t="shared" si="207"/>
        <v>26305627</v>
      </c>
      <c r="AE100" s="646">
        <f t="shared" si="207"/>
        <v>-0.51</v>
      </c>
      <c r="AF100" s="32">
        <f t="shared" si="207"/>
        <v>49.27</v>
      </c>
      <c r="AG100" s="32">
        <f t="shared" si="207"/>
        <v>0</v>
      </c>
      <c r="AH100" s="32">
        <f t="shared" si="207"/>
        <v>0</v>
      </c>
      <c r="AI100" s="32">
        <f t="shared" si="207"/>
        <v>0</v>
      </c>
      <c r="AJ100" s="32">
        <f t="shared" si="207"/>
        <v>0</v>
      </c>
      <c r="AK100" s="647">
        <f t="shared" si="207"/>
        <v>48.760000000000005</v>
      </c>
      <c r="AL100" s="96">
        <f t="shared" si="207"/>
        <v>316938822</v>
      </c>
      <c r="AM100" s="31">
        <f t="shared" si="207"/>
        <v>233957292</v>
      </c>
      <c r="AN100" s="31">
        <f t="shared" si="207"/>
        <v>1169203</v>
      </c>
      <c r="AO100" s="31">
        <f t="shared" si="207"/>
        <v>79472754</v>
      </c>
      <c r="AP100" s="31">
        <f t="shared" si="207"/>
        <v>2339573</v>
      </c>
      <c r="AQ100" s="31">
        <f t="shared" si="207"/>
        <v>0</v>
      </c>
      <c r="AR100" s="647">
        <f t="shared" si="207"/>
        <v>374.03309999999999</v>
      </c>
    </row>
    <row r="101" spans="1:44" s="60" customFormat="1" ht="12.95" customHeight="1" x14ac:dyDescent="0.25">
      <c r="D101" s="236"/>
      <c r="E101" s="237"/>
      <c r="F101" s="236"/>
      <c r="G101" s="238"/>
      <c r="H101" s="359">
        <v>3111</v>
      </c>
      <c r="I101" s="370">
        <f t="shared" ref="I101:AR101" si="208">SUMIF($F$12:$F$420,"=3111",I$12:I$420)</f>
        <v>63685988</v>
      </c>
      <c r="J101" s="371">
        <f t="shared" si="208"/>
        <v>47244800</v>
      </c>
      <c r="K101" s="371">
        <f t="shared" si="208"/>
        <v>15968741</v>
      </c>
      <c r="L101" s="371">
        <f t="shared" si="208"/>
        <v>472447</v>
      </c>
      <c r="M101" s="371">
        <f t="shared" si="208"/>
        <v>0</v>
      </c>
      <c r="N101" s="822">
        <f t="shared" si="208"/>
        <v>80.932000000000002</v>
      </c>
      <c r="O101" s="372">
        <f t="shared" si="208"/>
        <v>-66720</v>
      </c>
      <c r="P101" s="371">
        <f t="shared" si="208"/>
        <v>1808887</v>
      </c>
      <c r="Q101" s="371">
        <f t="shared" si="208"/>
        <v>0</v>
      </c>
      <c r="R101" s="371">
        <f t="shared" si="208"/>
        <v>0</v>
      </c>
      <c r="S101" s="371">
        <f t="shared" si="208"/>
        <v>0</v>
      </c>
      <c r="T101" s="371">
        <f t="shared" si="208"/>
        <v>0</v>
      </c>
      <c r="U101" s="371">
        <f t="shared" si="208"/>
        <v>1742167</v>
      </c>
      <c r="V101" s="371">
        <f t="shared" si="208"/>
        <v>66720</v>
      </c>
      <c r="W101" s="371">
        <f t="shared" si="208"/>
        <v>0</v>
      </c>
      <c r="X101" s="371">
        <f t="shared" si="208"/>
        <v>0</v>
      </c>
      <c r="Y101" s="371">
        <f t="shared" si="208"/>
        <v>66720</v>
      </c>
      <c r="Z101" s="371">
        <f t="shared" si="208"/>
        <v>1808887</v>
      </c>
      <c r="AA101" s="371">
        <f t="shared" si="208"/>
        <v>611404</v>
      </c>
      <c r="AB101" s="371">
        <f t="shared" si="208"/>
        <v>17422</v>
      </c>
      <c r="AC101" s="371">
        <f t="shared" si="208"/>
        <v>0</v>
      </c>
      <c r="AD101" s="643">
        <f t="shared" si="208"/>
        <v>2437713</v>
      </c>
      <c r="AE101" s="648">
        <f t="shared" si="208"/>
        <v>-0.05</v>
      </c>
      <c r="AF101" s="373">
        <f t="shared" si="208"/>
        <v>5.05</v>
      </c>
      <c r="AG101" s="373">
        <f t="shared" si="208"/>
        <v>0</v>
      </c>
      <c r="AH101" s="373">
        <f t="shared" si="208"/>
        <v>0</v>
      </c>
      <c r="AI101" s="373">
        <f t="shared" si="208"/>
        <v>0</v>
      </c>
      <c r="AJ101" s="373">
        <f t="shared" si="208"/>
        <v>0</v>
      </c>
      <c r="AK101" s="649">
        <f t="shared" si="208"/>
        <v>5</v>
      </c>
      <c r="AL101" s="370">
        <f t="shared" si="208"/>
        <v>66123701</v>
      </c>
      <c r="AM101" s="371">
        <f t="shared" si="208"/>
        <v>48986967</v>
      </c>
      <c r="AN101" s="371">
        <f t="shared" si="208"/>
        <v>66720</v>
      </c>
      <c r="AO101" s="371">
        <f t="shared" si="208"/>
        <v>16580145</v>
      </c>
      <c r="AP101" s="371">
        <f t="shared" si="208"/>
        <v>489869</v>
      </c>
      <c r="AQ101" s="371">
        <f t="shared" si="208"/>
        <v>0</v>
      </c>
      <c r="AR101" s="649">
        <f t="shared" si="208"/>
        <v>85.932000000000016</v>
      </c>
    </row>
    <row r="102" spans="1:44" s="60" customFormat="1" ht="12.95" customHeight="1" x14ac:dyDescent="0.25">
      <c r="D102" s="236"/>
      <c r="E102" s="237"/>
      <c r="F102" s="236"/>
      <c r="G102" s="238"/>
      <c r="H102" s="16">
        <v>3113</v>
      </c>
      <c r="I102" s="119">
        <f t="shared" ref="I102:AR102" si="209">SUMIF($F$12:$F$420,"=3113",I$12:I$420)</f>
        <v>145958343</v>
      </c>
      <c r="J102" s="14">
        <f t="shared" si="209"/>
        <v>108277701</v>
      </c>
      <c r="K102" s="14">
        <f t="shared" si="209"/>
        <v>36597864</v>
      </c>
      <c r="L102" s="14">
        <f t="shared" si="209"/>
        <v>1082778</v>
      </c>
      <c r="M102" s="14">
        <f t="shared" si="209"/>
        <v>0</v>
      </c>
      <c r="N102" s="823">
        <f t="shared" si="209"/>
        <v>148.59119999999999</v>
      </c>
      <c r="O102" s="120">
        <f t="shared" si="209"/>
        <v>-321600</v>
      </c>
      <c r="P102" s="14">
        <f t="shared" si="209"/>
        <v>13028550</v>
      </c>
      <c r="Q102" s="14">
        <f t="shared" si="209"/>
        <v>0</v>
      </c>
      <c r="R102" s="14">
        <f t="shared" si="209"/>
        <v>0</v>
      </c>
      <c r="S102" s="14">
        <f t="shared" si="209"/>
        <v>0</v>
      </c>
      <c r="T102" s="14">
        <f t="shared" si="209"/>
        <v>0</v>
      </c>
      <c r="U102" s="14">
        <f t="shared" si="209"/>
        <v>12706950</v>
      </c>
      <c r="V102" s="14">
        <f t="shared" si="209"/>
        <v>321600</v>
      </c>
      <c r="W102" s="14">
        <f t="shared" si="209"/>
        <v>500683</v>
      </c>
      <c r="X102" s="14">
        <f t="shared" si="209"/>
        <v>0</v>
      </c>
      <c r="Y102" s="14">
        <f t="shared" si="209"/>
        <v>822283</v>
      </c>
      <c r="Z102" s="14">
        <f t="shared" si="209"/>
        <v>13529233</v>
      </c>
      <c r="AA102" s="14">
        <f t="shared" si="209"/>
        <v>4572879</v>
      </c>
      <c r="AB102" s="14">
        <f t="shared" si="209"/>
        <v>127069</v>
      </c>
      <c r="AC102" s="14">
        <f t="shared" si="209"/>
        <v>0</v>
      </c>
      <c r="AD102" s="644">
        <f t="shared" si="209"/>
        <v>18229181</v>
      </c>
      <c r="AE102" s="650">
        <f t="shared" si="209"/>
        <v>-0.4</v>
      </c>
      <c r="AF102" s="11">
        <f t="shared" si="209"/>
        <v>33.450000000000003</v>
      </c>
      <c r="AG102" s="11">
        <f t="shared" si="209"/>
        <v>0</v>
      </c>
      <c r="AH102" s="11">
        <f t="shared" si="209"/>
        <v>0</v>
      </c>
      <c r="AI102" s="11">
        <f t="shared" si="209"/>
        <v>0</v>
      </c>
      <c r="AJ102" s="11">
        <f t="shared" si="209"/>
        <v>0</v>
      </c>
      <c r="AK102" s="651">
        <f t="shared" si="209"/>
        <v>33.050000000000004</v>
      </c>
      <c r="AL102" s="119">
        <f t="shared" si="209"/>
        <v>164187524</v>
      </c>
      <c r="AM102" s="14">
        <f t="shared" si="209"/>
        <v>120984651</v>
      </c>
      <c r="AN102" s="14">
        <f t="shared" si="209"/>
        <v>822283</v>
      </c>
      <c r="AO102" s="14">
        <f t="shared" si="209"/>
        <v>41170743</v>
      </c>
      <c r="AP102" s="14">
        <f t="shared" si="209"/>
        <v>1209847</v>
      </c>
      <c r="AQ102" s="14">
        <f t="shared" si="209"/>
        <v>0</v>
      </c>
      <c r="AR102" s="651">
        <f t="shared" si="209"/>
        <v>181.6412</v>
      </c>
    </row>
    <row r="103" spans="1:44" s="60" customFormat="1" ht="12.95" customHeight="1" x14ac:dyDescent="0.25">
      <c r="D103" s="236"/>
      <c r="E103" s="237"/>
      <c r="F103" s="236"/>
      <c r="G103" s="238"/>
      <c r="H103" s="16">
        <v>3114</v>
      </c>
      <c r="I103" s="119">
        <f t="shared" ref="I103:AR103" si="210">SUMIF($F$12:$F$420,"=3114",I$12:I$420)</f>
        <v>9022124</v>
      </c>
      <c r="J103" s="14">
        <f t="shared" si="210"/>
        <v>6692970</v>
      </c>
      <c r="K103" s="14">
        <f t="shared" si="210"/>
        <v>2262224</v>
      </c>
      <c r="L103" s="14">
        <f t="shared" si="210"/>
        <v>66930</v>
      </c>
      <c r="M103" s="14">
        <f t="shared" si="210"/>
        <v>0</v>
      </c>
      <c r="N103" s="823">
        <f t="shared" si="210"/>
        <v>9.383700000000001</v>
      </c>
      <c r="O103" s="120">
        <f t="shared" si="210"/>
        <v>-30000</v>
      </c>
      <c r="P103" s="14">
        <f t="shared" si="210"/>
        <v>0</v>
      </c>
      <c r="Q103" s="14">
        <f t="shared" si="210"/>
        <v>0</v>
      </c>
      <c r="R103" s="14">
        <f t="shared" si="210"/>
        <v>0</v>
      </c>
      <c r="S103" s="14">
        <f t="shared" si="210"/>
        <v>0</v>
      </c>
      <c r="T103" s="14">
        <f t="shared" si="210"/>
        <v>0</v>
      </c>
      <c r="U103" s="14">
        <f t="shared" si="210"/>
        <v>-30000</v>
      </c>
      <c r="V103" s="14">
        <f t="shared" si="210"/>
        <v>30000</v>
      </c>
      <c r="W103" s="14">
        <f t="shared" si="210"/>
        <v>0</v>
      </c>
      <c r="X103" s="14">
        <f t="shared" si="210"/>
        <v>0</v>
      </c>
      <c r="Y103" s="14">
        <f t="shared" si="210"/>
        <v>30000</v>
      </c>
      <c r="Z103" s="14">
        <f t="shared" si="210"/>
        <v>0</v>
      </c>
      <c r="AA103" s="14">
        <f t="shared" si="210"/>
        <v>0</v>
      </c>
      <c r="AB103" s="14">
        <f t="shared" si="210"/>
        <v>-300</v>
      </c>
      <c r="AC103" s="14">
        <f t="shared" si="210"/>
        <v>0</v>
      </c>
      <c r="AD103" s="644">
        <f t="shared" si="210"/>
        <v>-300</v>
      </c>
      <c r="AE103" s="650">
        <f t="shared" si="210"/>
        <v>0</v>
      </c>
      <c r="AF103" s="11">
        <f t="shared" si="210"/>
        <v>0</v>
      </c>
      <c r="AG103" s="11">
        <f t="shared" si="210"/>
        <v>0</v>
      </c>
      <c r="AH103" s="11">
        <f t="shared" si="210"/>
        <v>0</v>
      </c>
      <c r="AI103" s="11">
        <f t="shared" si="210"/>
        <v>0</v>
      </c>
      <c r="AJ103" s="11">
        <f t="shared" si="210"/>
        <v>0</v>
      </c>
      <c r="AK103" s="651">
        <f t="shared" si="210"/>
        <v>0</v>
      </c>
      <c r="AL103" s="119">
        <f t="shared" si="210"/>
        <v>9021824</v>
      </c>
      <c r="AM103" s="14">
        <f t="shared" si="210"/>
        <v>6662970</v>
      </c>
      <c r="AN103" s="14">
        <f t="shared" si="210"/>
        <v>30000</v>
      </c>
      <c r="AO103" s="14">
        <f t="shared" si="210"/>
        <v>2262224</v>
      </c>
      <c r="AP103" s="14">
        <f t="shared" si="210"/>
        <v>66630</v>
      </c>
      <c r="AQ103" s="14">
        <f t="shared" si="210"/>
        <v>0</v>
      </c>
      <c r="AR103" s="651">
        <f t="shared" si="210"/>
        <v>9.383700000000001</v>
      </c>
    </row>
    <row r="104" spans="1:44" s="60" customFormat="1" ht="12.95" customHeight="1" x14ac:dyDescent="0.25">
      <c r="D104" s="236"/>
      <c r="E104" s="237"/>
      <c r="F104" s="236"/>
      <c r="G104" s="238"/>
      <c r="H104" s="16">
        <v>3117</v>
      </c>
      <c r="I104" s="119">
        <f t="shared" ref="I104:AR104" si="211">SUMIF($F$12:$F$420,"=3117",I$12:I$420)</f>
        <v>26266281</v>
      </c>
      <c r="J104" s="14">
        <f t="shared" si="211"/>
        <v>19485372</v>
      </c>
      <c r="K104" s="14">
        <f t="shared" si="211"/>
        <v>6586055</v>
      </c>
      <c r="L104" s="14">
        <f t="shared" si="211"/>
        <v>194854</v>
      </c>
      <c r="M104" s="14">
        <f t="shared" si="211"/>
        <v>0</v>
      </c>
      <c r="N104" s="823">
        <f t="shared" si="211"/>
        <v>28.628399999999999</v>
      </c>
      <c r="O104" s="120">
        <f t="shared" si="211"/>
        <v>-82200</v>
      </c>
      <c r="P104" s="14">
        <f t="shared" si="211"/>
        <v>4185116</v>
      </c>
      <c r="Q104" s="14">
        <f t="shared" si="211"/>
        <v>0</v>
      </c>
      <c r="R104" s="14">
        <f t="shared" si="211"/>
        <v>0</v>
      </c>
      <c r="S104" s="14">
        <f t="shared" si="211"/>
        <v>0</v>
      </c>
      <c r="T104" s="14">
        <f t="shared" si="211"/>
        <v>0</v>
      </c>
      <c r="U104" s="14">
        <f t="shared" si="211"/>
        <v>4102916</v>
      </c>
      <c r="V104" s="14">
        <f t="shared" si="211"/>
        <v>82200</v>
      </c>
      <c r="W104" s="14">
        <f t="shared" si="211"/>
        <v>0</v>
      </c>
      <c r="X104" s="14">
        <f t="shared" si="211"/>
        <v>0</v>
      </c>
      <c r="Y104" s="14">
        <f t="shared" si="211"/>
        <v>82200</v>
      </c>
      <c r="Z104" s="14">
        <f t="shared" si="211"/>
        <v>4185116</v>
      </c>
      <c r="AA104" s="14">
        <f t="shared" si="211"/>
        <v>1414569</v>
      </c>
      <c r="AB104" s="14">
        <f t="shared" si="211"/>
        <v>41028</v>
      </c>
      <c r="AC104" s="14">
        <f t="shared" si="211"/>
        <v>0</v>
      </c>
      <c r="AD104" s="644">
        <f t="shared" si="211"/>
        <v>5640713</v>
      </c>
      <c r="AE104" s="650">
        <f t="shared" si="211"/>
        <v>-0.01</v>
      </c>
      <c r="AF104" s="11">
        <f t="shared" si="211"/>
        <v>10.770000000000001</v>
      </c>
      <c r="AG104" s="11">
        <f t="shared" si="211"/>
        <v>0</v>
      </c>
      <c r="AH104" s="11">
        <f t="shared" si="211"/>
        <v>0</v>
      </c>
      <c r="AI104" s="11">
        <f t="shared" si="211"/>
        <v>0</v>
      </c>
      <c r="AJ104" s="11">
        <f t="shared" si="211"/>
        <v>0</v>
      </c>
      <c r="AK104" s="651">
        <f t="shared" si="211"/>
        <v>10.760000000000002</v>
      </c>
      <c r="AL104" s="119">
        <f t="shared" si="211"/>
        <v>31906994</v>
      </c>
      <c r="AM104" s="14">
        <f t="shared" si="211"/>
        <v>23588288</v>
      </c>
      <c r="AN104" s="14">
        <f t="shared" si="211"/>
        <v>82200</v>
      </c>
      <c r="AO104" s="14">
        <f t="shared" si="211"/>
        <v>8000624</v>
      </c>
      <c r="AP104" s="14">
        <f t="shared" si="211"/>
        <v>235882</v>
      </c>
      <c r="AQ104" s="14">
        <f t="shared" si="211"/>
        <v>0</v>
      </c>
      <c r="AR104" s="651">
        <f t="shared" si="211"/>
        <v>39.388400000000004</v>
      </c>
    </row>
    <row r="105" spans="1:44" s="60" customFormat="1" ht="12.95" customHeight="1" x14ac:dyDescent="0.25">
      <c r="D105" s="236"/>
      <c r="E105" s="237"/>
      <c r="F105" s="236"/>
      <c r="G105" s="238"/>
      <c r="H105" s="16">
        <v>3122</v>
      </c>
      <c r="I105" s="119">
        <f t="shared" ref="I105:AR105" si="212">SUMIF($F$12:$F$420,"=3122",I$12:I$420)</f>
        <v>0</v>
      </c>
      <c r="J105" s="14">
        <f t="shared" si="212"/>
        <v>0</v>
      </c>
      <c r="K105" s="14">
        <f t="shared" si="212"/>
        <v>0</v>
      </c>
      <c r="L105" s="14">
        <f t="shared" si="212"/>
        <v>0</v>
      </c>
      <c r="M105" s="14">
        <f t="shared" si="212"/>
        <v>0</v>
      </c>
      <c r="N105" s="823">
        <f t="shared" si="212"/>
        <v>0</v>
      </c>
      <c r="O105" s="120">
        <f t="shared" si="212"/>
        <v>0</v>
      </c>
      <c r="P105" s="14">
        <f t="shared" si="212"/>
        <v>0</v>
      </c>
      <c r="Q105" s="14">
        <f t="shared" si="212"/>
        <v>0</v>
      </c>
      <c r="R105" s="14">
        <f t="shared" si="212"/>
        <v>0</v>
      </c>
      <c r="S105" s="14">
        <f t="shared" si="212"/>
        <v>0</v>
      </c>
      <c r="T105" s="14">
        <f t="shared" si="212"/>
        <v>0</v>
      </c>
      <c r="U105" s="14">
        <f t="shared" si="212"/>
        <v>0</v>
      </c>
      <c r="V105" s="14">
        <f t="shared" si="212"/>
        <v>0</v>
      </c>
      <c r="W105" s="14">
        <f t="shared" si="212"/>
        <v>0</v>
      </c>
      <c r="X105" s="14">
        <f t="shared" si="212"/>
        <v>0</v>
      </c>
      <c r="Y105" s="14">
        <f t="shared" si="212"/>
        <v>0</v>
      </c>
      <c r="Z105" s="14">
        <f t="shared" si="212"/>
        <v>0</v>
      </c>
      <c r="AA105" s="14">
        <f t="shared" si="212"/>
        <v>0</v>
      </c>
      <c r="AB105" s="14">
        <f t="shared" si="212"/>
        <v>0</v>
      </c>
      <c r="AC105" s="14">
        <f t="shared" si="212"/>
        <v>0</v>
      </c>
      <c r="AD105" s="644">
        <f t="shared" si="212"/>
        <v>0</v>
      </c>
      <c r="AE105" s="650">
        <f t="shared" si="212"/>
        <v>0</v>
      </c>
      <c r="AF105" s="11">
        <f t="shared" si="212"/>
        <v>0</v>
      </c>
      <c r="AG105" s="11">
        <f t="shared" si="212"/>
        <v>0</v>
      </c>
      <c r="AH105" s="11">
        <f t="shared" si="212"/>
        <v>0</v>
      </c>
      <c r="AI105" s="11">
        <f t="shared" si="212"/>
        <v>0</v>
      </c>
      <c r="AJ105" s="11">
        <f t="shared" si="212"/>
        <v>0</v>
      </c>
      <c r="AK105" s="651">
        <f t="shared" si="212"/>
        <v>0</v>
      </c>
      <c r="AL105" s="119">
        <f t="shared" si="212"/>
        <v>0</v>
      </c>
      <c r="AM105" s="14">
        <f t="shared" si="212"/>
        <v>0</v>
      </c>
      <c r="AN105" s="14">
        <f t="shared" si="212"/>
        <v>0</v>
      </c>
      <c r="AO105" s="14">
        <f t="shared" si="212"/>
        <v>0</v>
      </c>
      <c r="AP105" s="14">
        <f t="shared" si="212"/>
        <v>0</v>
      </c>
      <c r="AQ105" s="14">
        <f t="shared" si="212"/>
        <v>0</v>
      </c>
      <c r="AR105" s="651">
        <f t="shared" si="212"/>
        <v>0</v>
      </c>
    </row>
    <row r="106" spans="1:44" s="60" customFormat="1" ht="12.95" customHeight="1" x14ac:dyDescent="0.25">
      <c r="D106" s="236"/>
      <c r="E106" s="237"/>
      <c r="F106" s="236"/>
      <c r="G106" s="238"/>
      <c r="H106" s="16">
        <v>3124</v>
      </c>
      <c r="I106" s="119">
        <f t="shared" ref="I106:AR106" si="213">SUMIF($F$12:$F$420,"=3124",I$12:I$420)</f>
        <v>0</v>
      </c>
      <c r="J106" s="14">
        <f t="shared" si="213"/>
        <v>0</v>
      </c>
      <c r="K106" s="14">
        <f t="shared" si="213"/>
        <v>0</v>
      </c>
      <c r="L106" s="14">
        <f t="shared" si="213"/>
        <v>0</v>
      </c>
      <c r="M106" s="14">
        <f t="shared" si="213"/>
        <v>0</v>
      </c>
      <c r="N106" s="823">
        <f t="shared" si="213"/>
        <v>0</v>
      </c>
      <c r="O106" s="120">
        <f t="shared" si="213"/>
        <v>0</v>
      </c>
      <c r="P106" s="14">
        <f t="shared" si="213"/>
        <v>0</v>
      </c>
      <c r="Q106" s="14">
        <f t="shared" si="213"/>
        <v>0</v>
      </c>
      <c r="R106" s="14">
        <f t="shared" si="213"/>
        <v>0</v>
      </c>
      <c r="S106" s="14">
        <f t="shared" si="213"/>
        <v>0</v>
      </c>
      <c r="T106" s="14">
        <f t="shared" si="213"/>
        <v>0</v>
      </c>
      <c r="U106" s="14">
        <f t="shared" si="213"/>
        <v>0</v>
      </c>
      <c r="V106" s="14">
        <f t="shared" si="213"/>
        <v>0</v>
      </c>
      <c r="W106" s="14">
        <f t="shared" si="213"/>
        <v>0</v>
      </c>
      <c r="X106" s="14">
        <f t="shared" si="213"/>
        <v>0</v>
      </c>
      <c r="Y106" s="14">
        <f t="shared" si="213"/>
        <v>0</v>
      </c>
      <c r="Z106" s="14">
        <f t="shared" si="213"/>
        <v>0</v>
      </c>
      <c r="AA106" s="14">
        <f t="shared" si="213"/>
        <v>0</v>
      </c>
      <c r="AB106" s="14">
        <f t="shared" si="213"/>
        <v>0</v>
      </c>
      <c r="AC106" s="14">
        <f t="shared" si="213"/>
        <v>0</v>
      </c>
      <c r="AD106" s="644">
        <f t="shared" si="213"/>
        <v>0</v>
      </c>
      <c r="AE106" s="650">
        <f t="shared" si="213"/>
        <v>0</v>
      </c>
      <c r="AF106" s="11">
        <f t="shared" si="213"/>
        <v>0</v>
      </c>
      <c r="AG106" s="11">
        <f t="shared" si="213"/>
        <v>0</v>
      </c>
      <c r="AH106" s="11">
        <f t="shared" si="213"/>
        <v>0</v>
      </c>
      <c r="AI106" s="11">
        <f t="shared" si="213"/>
        <v>0</v>
      </c>
      <c r="AJ106" s="11">
        <f t="shared" si="213"/>
        <v>0</v>
      </c>
      <c r="AK106" s="651">
        <f t="shared" si="213"/>
        <v>0</v>
      </c>
      <c r="AL106" s="119">
        <f t="shared" si="213"/>
        <v>0</v>
      </c>
      <c r="AM106" s="14">
        <f t="shared" si="213"/>
        <v>0</v>
      </c>
      <c r="AN106" s="14">
        <f t="shared" si="213"/>
        <v>0</v>
      </c>
      <c r="AO106" s="14">
        <f t="shared" si="213"/>
        <v>0</v>
      </c>
      <c r="AP106" s="14">
        <f t="shared" si="213"/>
        <v>0</v>
      </c>
      <c r="AQ106" s="14">
        <f t="shared" si="213"/>
        <v>0</v>
      </c>
      <c r="AR106" s="651">
        <f t="shared" si="213"/>
        <v>0</v>
      </c>
    </row>
    <row r="107" spans="1:44" s="60" customFormat="1" ht="12.95" customHeight="1" x14ac:dyDescent="0.25">
      <c r="D107" s="236"/>
      <c r="E107" s="237"/>
      <c r="F107" s="236"/>
      <c r="G107" s="238"/>
      <c r="H107" s="16">
        <v>3141</v>
      </c>
      <c r="I107" s="119">
        <f t="shared" ref="I107:AR107" si="214">SUMIF($F$12:$F$420,"=3141",I$12:I$420)</f>
        <v>0</v>
      </c>
      <c r="J107" s="14">
        <f t="shared" si="214"/>
        <v>0</v>
      </c>
      <c r="K107" s="14">
        <f t="shared" si="214"/>
        <v>0</v>
      </c>
      <c r="L107" s="14">
        <f t="shared" si="214"/>
        <v>0</v>
      </c>
      <c r="M107" s="14">
        <f t="shared" si="214"/>
        <v>0</v>
      </c>
      <c r="N107" s="823">
        <f t="shared" si="214"/>
        <v>0</v>
      </c>
      <c r="O107" s="120">
        <f t="shared" si="214"/>
        <v>0</v>
      </c>
      <c r="P107" s="14">
        <f t="shared" si="214"/>
        <v>0</v>
      </c>
      <c r="Q107" s="14">
        <f t="shared" si="214"/>
        <v>0</v>
      </c>
      <c r="R107" s="14">
        <f t="shared" si="214"/>
        <v>0</v>
      </c>
      <c r="S107" s="14">
        <f t="shared" si="214"/>
        <v>0</v>
      </c>
      <c r="T107" s="14">
        <f t="shared" si="214"/>
        <v>0</v>
      </c>
      <c r="U107" s="14">
        <f t="shared" si="214"/>
        <v>0</v>
      </c>
      <c r="V107" s="14">
        <f t="shared" si="214"/>
        <v>0</v>
      </c>
      <c r="W107" s="14">
        <f t="shared" si="214"/>
        <v>0</v>
      </c>
      <c r="X107" s="14">
        <f t="shared" si="214"/>
        <v>0</v>
      </c>
      <c r="Y107" s="14">
        <f t="shared" si="214"/>
        <v>0</v>
      </c>
      <c r="Z107" s="14">
        <f t="shared" si="214"/>
        <v>0</v>
      </c>
      <c r="AA107" s="14">
        <f t="shared" si="214"/>
        <v>0</v>
      </c>
      <c r="AB107" s="14">
        <f t="shared" si="214"/>
        <v>0</v>
      </c>
      <c r="AC107" s="14">
        <f t="shared" si="214"/>
        <v>0</v>
      </c>
      <c r="AD107" s="644">
        <f t="shared" si="214"/>
        <v>0</v>
      </c>
      <c r="AE107" s="650">
        <f t="shared" si="214"/>
        <v>0</v>
      </c>
      <c r="AF107" s="11">
        <f t="shared" si="214"/>
        <v>0</v>
      </c>
      <c r="AG107" s="11">
        <f t="shared" si="214"/>
        <v>0</v>
      </c>
      <c r="AH107" s="11">
        <f t="shared" si="214"/>
        <v>0</v>
      </c>
      <c r="AI107" s="11">
        <f t="shared" si="214"/>
        <v>0</v>
      </c>
      <c r="AJ107" s="11">
        <f t="shared" si="214"/>
        <v>0</v>
      </c>
      <c r="AK107" s="651">
        <f t="shared" si="214"/>
        <v>0</v>
      </c>
      <c r="AL107" s="119">
        <f t="shared" si="214"/>
        <v>0</v>
      </c>
      <c r="AM107" s="14">
        <f t="shared" si="214"/>
        <v>0</v>
      </c>
      <c r="AN107" s="14">
        <f t="shared" si="214"/>
        <v>0</v>
      </c>
      <c r="AO107" s="14">
        <f t="shared" si="214"/>
        <v>0</v>
      </c>
      <c r="AP107" s="14">
        <f t="shared" si="214"/>
        <v>0</v>
      </c>
      <c r="AQ107" s="14">
        <f t="shared" si="214"/>
        <v>0</v>
      </c>
      <c r="AR107" s="651">
        <f t="shared" si="214"/>
        <v>0</v>
      </c>
    </row>
    <row r="108" spans="1:44" s="60" customFormat="1" ht="12.95" customHeight="1" x14ac:dyDescent="0.25">
      <c r="D108" s="236"/>
      <c r="E108" s="237"/>
      <c r="F108" s="236"/>
      <c r="G108" s="238"/>
      <c r="H108" s="16">
        <v>3143</v>
      </c>
      <c r="I108" s="119">
        <f t="shared" ref="I108:AR108" si="215">SUMIF($F$12:$F$420,"=3143",I$12:I$420)</f>
        <v>21694358</v>
      </c>
      <c r="J108" s="14">
        <f t="shared" si="215"/>
        <v>16093736</v>
      </c>
      <c r="K108" s="14">
        <f t="shared" si="215"/>
        <v>5439684</v>
      </c>
      <c r="L108" s="14">
        <f t="shared" si="215"/>
        <v>160938</v>
      </c>
      <c r="M108" s="14">
        <f t="shared" si="215"/>
        <v>0</v>
      </c>
      <c r="N108" s="823">
        <f t="shared" si="215"/>
        <v>30.051699999999997</v>
      </c>
      <c r="O108" s="120">
        <f t="shared" si="215"/>
        <v>-138000</v>
      </c>
      <c r="P108" s="14">
        <f t="shared" si="215"/>
        <v>0</v>
      </c>
      <c r="Q108" s="14">
        <f t="shared" si="215"/>
        <v>0</v>
      </c>
      <c r="R108" s="14">
        <f t="shared" si="215"/>
        <v>0</v>
      </c>
      <c r="S108" s="14">
        <f t="shared" si="215"/>
        <v>0</v>
      </c>
      <c r="T108" s="14">
        <f t="shared" si="215"/>
        <v>0</v>
      </c>
      <c r="U108" s="14">
        <f t="shared" si="215"/>
        <v>-138000</v>
      </c>
      <c r="V108" s="14">
        <f t="shared" si="215"/>
        <v>138000</v>
      </c>
      <c r="W108" s="14">
        <f t="shared" si="215"/>
        <v>0</v>
      </c>
      <c r="X108" s="14">
        <f t="shared" si="215"/>
        <v>0</v>
      </c>
      <c r="Y108" s="14">
        <f t="shared" si="215"/>
        <v>138000</v>
      </c>
      <c r="Z108" s="14">
        <f t="shared" si="215"/>
        <v>0</v>
      </c>
      <c r="AA108" s="14">
        <f t="shared" si="215"/>
        <v>0</v>
      </c>
      <c r="AB108" s="14">
        <f t="shared" si="215"/>
        <v>-1380</v>
      </c>
      <c r="AC108" s="14">
        <f t="shared" si="215"/>
        <v>0</v>
      </c>
      <c r="AD108" s="644">
        <f t="shared" si="215"/>
        <v>-1380</v>
      </c>
      <c r="AE108" s="650">
        <f t="shared" si="215"/>
        <v>0</v>
      </c>
      <c r="AF108" s="11">
        <f t="shared" si="215"/>
        <v>0</v>
      </c>
      <c r="AG108" s="11">
        <f t="shared" si="215"/>
        <v>0</v>
      </c>
      <c r="AH108" s="11">
        <f t="shared" si="215"/>
        <v>0</v>
      </c>
      <c r="AI108" s="11">
        <f t="shared" si="215"/>
        <v>0</v>
      </c>
      <c r="AJ108" s="11">
        <f t="shared" si="215"/>
        <v>0</v>
      </c>
      <c r="AK108" s="651">
        <f t="shared" si="215"/>
        <v>0</v>
      </c>
      <c r="AL108" s="119">
        <f t="shared" si="215"/>
        <v>21692978</v>
      </c>
      <c r="AM108" s="14">
        <f t="shared" si="215"/>
        <v>15955736</v>
      </c>
      <c r="AN108" s="14">
        <f t="shared" si="215"/>
        <v>138000</v>
      </c>
      <c r="AO108" s="14">
        <f t="shared" si="215"/>
        <v>5439684</v>
      </c>
      <c r="AP108" s="14">
        <f t="shared" si="215"/>
        <v>159558</v>
      </c>
      <c r="AQ108" s="14">
        <f t="shared" si="215"/>
        <v>0</v>
      </c>
      <c r="AR108" s="651">
        <f t="shared" si="215"/>
        <v>30.051699999999997</v>
      </c>
    </row>
    <row r="109" spans="1:44" s="60" customFormat="1" ht="12.95" customHeight="1" x14ac:dyDescent="0.25">
      <c r="D109" s="236"/>
      <c r="E109" s="237"/>
      <c r="F109" s="236"/>
      <c r="G109" s="238"/>
      <c r="H109" s="16">
        <v>3231</v>
      </c>
      <c r="I109" s="119">
        <f t="shared" ref="I109:AR109" si="216">SUMIF($F$12:$F$420,"=3231",I$12:I$420)</f>
        <v>17133513</v>
      </c>
      <c r="J109" s="14">
        <f t="shared" si="216"/>
        <v>12710321</v>
      </c>
      <c r="K109" s="14">
        <f t="shared" si="216"/>
        <v>4296089</v>
      </c>
      <c r="L109" s="14">
        <f t="shared" si="216"/>
        <v>127103</v>
      </c>
      <c r="M109" s="14">
        <f t="shared" si="216"/>
        <v>0</v>
      </c>
      <c r="N109" s="823">
        <f t="shared" si="216"/>
        <v>19.056100000000001</v>
      </c>
      <c r="O109" s="120">
        <f t="shared" si="216"/>
        <v>0</v>
      </c>
      <c r="P109" s="14">
        <f t="shared" si="216"/>
        <v>0</v>
      </c>
      <c r="Q109" s="14">
        <f t="shared" si="216"/>
        <v>0</v>
      </c>
      <c r="R109" s="14">
        <f t="shared" si="216"/>
        <v>0</v>
      </c>
      <c r="S109" s="14">
        <f t="shared" si="216"/>
        <v>0</v>
      </c>
      <c r="T109" s="14">
        <f t="shared" si="216"/>
        <v>0</v>
      </c>
      <c r="U109" s="14">
        <f t="shared" si="216"/>
        <v>0</v>
      </c>
      <c r="V109" s="14">
        <f t="shared" si="216"/>
        <v>0</v>
      </c>
      <c r="W109" s="14">
        <f t="shared" si="216"/>
        <v>0</v>
      </c>
      <c r="X109" s="14">
        <f t="shared" si="216"/>
        <v>0</v>
      </c>
      <c r="Y109" s="14">
        <f t="shared" si="216"/>
        <v>0</v>
      </c>
      <c r="Z109" s="14">
        <f t="shared" si="216"/>
        <v>0</v>
      </c>
      <c r="AA109" s="14">
        <f t="shared" si="216"/>
        <v>0</v>
      </c>
      <c r="AB109" s="14">
        <f t="shared" si="216"/>
        <v>0</v>
      </c>
      <c r="AC109" s="14">
        <f t="shared" si="216"/>
        <v>0</v>
      </c>
      <c r="AD109" s="644">
        <f t="shared" si="216"/>
        <v>0</v>
      </c>
      <c r="AE109" s="650">
        <f t="shared" si="216"/>
        <v>0</v>
      </c>
      <c r="AF109" s="11">
        <f t="shared" si="216"/>
        <v>0</v>
      </c>
      <c r="AG109" s="11">
        <f t="shared" si="216"/>
        <v>0</v>
      </c>
      <c r="AH109" s="11">
        <f t="shared" si="216"/>
        <v>0</v>
      </c>
      <c r="AI109" s="11">
        <f t="shared" si="216"/>
        <v>0</v>
      </c>
      <c r="AJ109" s="11">
        <f t="shared" si="216"/>
        <v>0</v>
      </c>
      <c r="AK109" s="651">
        <f t="shared" si="216"/>
        <v>0</v>
      </c>
      <c r="AL109" s="119">
        <f t="shared" si="216"/>
        <v>17133513</v>
      </c>
      <c r="AM109" s="14">
        <f t="shared" si="216"/>
        <v>12710321</v>
      </c>
      <c r="AN109" s="14">
        <f t="shared" si="216"/>
        <v>0</v>
      </c>
      <c r="AO109" s="14">
        <f t="shared" si="216"/>
        <v>4296089</v>
      </c>
      <c r="AP109" s="14">
        <f t="shared" si="216"/>
        <v>127103</v>
      </c>
      <c r="AQ109" s="14">
        <f t="shared" si="216"/>
        <v>0</v>
      </c>
      <c r="AR109" s="651">
        <f t="shared" si="216"/>
        <v>19.056100000000001</v>
      </c>
    </row>
    <row r="110" spans="1:44" s="60" customFormat="1" ht="12.95" customHeight="1" thickBot="1" x14ac:dyDescent="0.3">
      <c r="D110" s="236"/>
      <c r="E110" s="237"/>
      <c r="F110" s="236"/>
      <c r="G110" s="238"/>
      <c r="H110" s="95">
        <v>3233</v>
      </c>
      <c r="I110" s="122">
        <f t="shared" ref="I110:AR110" si="217">SUMIF($F$12:$F$420,"=3233",I$12:I$420)</f>
        <v>6872588</v>
      </c>
      <c r="J110" s="123">
        <f t="shared" si="217"/>
        <v>5098359</v>
      </c>
      <c r="K110" s="123">
        <f t="shared" si="217"/>
        <v>1723245</v>
      </c>
      <c r="L110" s="123">
        <f t="shared" si="217"/>
        <v>50984</v>
      </c>
      <c r="M110" s="123">
        <f t="shared" si="217"/>
        <v>0</v>
      </c>
      <c r="N110" s="824">
        <f t="shared" si="217"/>
        <v>8.6300000000000008</v>
      </c>
      <c r="O110" s="125">
        <f t="shared" si="217"/>
        <v>-30000</v>
      </c>
      <c r="P110" s="123">
        <f t="shared" si="217"/>
        <v>0</v>
      </c>
      <c r="Q110" s="123">
        <f t="shared" si="217"/>
        <v>0</v>
      </c>
      <c r="R110" s="123">
        <f t="shared" si="217"/>
        <v>0</v>
      </c>
      <c r="S110" s="123">
        <f t="shared" si="217"/>
        <v>0</v>
      </c>
      <c r="T110" s="123">
        <f t="shared" si="217"/>
        <v>0</v>
      </c>
      <c r="U110" s="123">
        <f t="shared" si="217"/>
        <v>-30000</v>
      </c>
      <c r="V110" s="123">
        <f t="shared" si="217"/>
        <v>30000</v>
      </c>
      <c r="W110" s="123">
        <f t="shared" si="217"/>
        <v>0</v>
      </c>
      <c r="X110" s="123">
        <f t="shared" si="217"/>
        <v>0</v>
      </c>
      <c r="Y110" s="123">
        <f t="shared" si="217"/>
        <v>30000</v>
      </c>
      <c r="Z110" s="123">
        <f t="shared" si="217"/>
        <v>0</v>
      </c>
      <c r="AA110" s="123">
        <f t="shared" si="217"/>
        <v>0</v>
      </c>
      <c r="AB110" s="123">
        <f t="shared" si="217"/>
        <v>-300</v>
      </c>
      <c r="AC110" s="123">
        <f t="shared" si="217"/>
        <v>0</v>
      </c>
      <c r="AD110" s="645">
        <f t="shared" si="217"/>
        <v>-300</v>
      </c>
      <c r="AE110" s="652">
        <f t="shared" si="217"/>
        <v>-0.05</v>
      </c>
      <c r="AF110" s="124">
        <f t="shared" si="217"/>
        <v>0</v>
      </c>
      <c r="AG110" s="124">
        <f t="shared" si="217"/>
        <v>0</v>
      </c>
      <c r="AH110" s="124">
        <f t="shared" si="217"/>
        <v>0</v>
      </c>
      <c r="AI110" s="124">
        <f t="shared" si="217"/>
        <v>0</v>
      </c>
      <c r="AJ110" s="124">
        <f t="shared" si="217"/>
        <v>0</v>
      </c>
      <c r="AK110" s="653">
        <f t="shared" si="217"/>
        <v>-0.05</v>
      </c>
      <c r="AL110" s="122">
        <f t="shared" si="217"/>
        <v>6872288</v>
      </c>
      <c r="AM110" s="123">
        <f t="shared" si="217"/>
        <v>5068359</v>
      </c>
      <c r="AN110" s="123">
        <f t="shared" si="217"/>
        <v>30000</v>
      </c>
      <c r="AO110" s="123">
        <f t="shared" si="217"/>
        <v>1723245</v>
      </c>
      <c r="AP110" s="123">
        <f t="shared" si="217"/>
        <v>50684</v>
      </c>
      <c r="AQ110" s="123">
        <f t="shared" si="217"/>
        <v>0</v>
      </c>
      <c r="AR110" s="653">
        <f t="shared" si="217"/>
        <v>8.58</v>
      </c>
    </row>
    <row r="111" spans="1:44" ht="12.95" customHeight="1" x14ac:dyDescent="0.25">
      <c r="E111" s="175"/>
    </row>
    <row r="112" spans="1:44" x14ac:dyDescent="0.25">
      <c r="E112" s="175"/>
    </row>
    <row r="113" spans="5:5" x14ac:dyDescent="0.25">
      <c r="E113" s="175"/>
    </row>
  </sheetData>
  <mergeCells count="45">
    <mergeCell ref="J8:L8"/>
    <mergeCell ref="AM8:AP8"/>
    <mergeCell ref="AQ9:AQ10"/>
    <mergeCell ref="AL6:AR7"/>
    <mergeCell ref="AR8:AR10"/>
    <mergeCell ref="AM9:AM10"/>
    <mergeCell ref="AO9:AO10"/>
    <mergeCell ref="AN9:AN10"/>
    <mergeCell ref="AP9:AP10"/>
    <mergeCell ref="AL8:AL10"/>
    <mergeCell ref="K9:K10"/>
    <mergeCell ref="T9:T10"/>
    <mergeCell ref="V9:V10"/>
    <mergeCell ref="X9:X10"/>
    <mergeCell ref="S9:S10"/>
    <mergeCell ref="P9:P10"/>
    <mergeCell ref="A3:E3"/>
    <mergeCell ref="I8:I10"/>
    <mergeCell ref="I6:N7"/>
    <mergeCell ref="Y9:Y10"/>
    <mergeCell ref="L9:L10"/>
    <mergeCell ref="M9:M10"/>
    <mergeCell ref="N8:N10"/>
    <mergeCell ref="J9:J10"/>
    <mergeCell ref="O6:AK6"/>
    <mergeCell ref="O7:U8"/>
    <mergeCell ref="V7:Y8"/>
    <mergeCell ref="AI8:AI10"/>
    <mergeCell ref="AJ8:AJ10"/>
    <mergeCell ref="AB7:AB10"/>
    <mergeCell ref="O9:O10"/>
    <mergeCell ref="R9:R10"/>
    <mergeCell ref="Q9:Q10"/>
    <mergeCell ref="U9:U10"/>
    <mergeCell ref="W9:W10"/>
    <mergeCell ref="Z7:Z10"/>
    <mergeCell ref="AC7:AC10"/>
    <mergeCell ref="AE8:AE10"/>
    <mergeCell ref="AF8:AF10"/>
    <mergeCell ref="AG8:AG10"/>
    <mergeCell ref="AA7:AA10"/>
    <mergeCell ref="AE7:AK7"/>
    <mergeCell ref="AD7:AD10"/>
    <mergeCell ref="AH8:AH10"/>
    <mergeCell ref="AK8:AK1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AT145"/>
  <sheetViews>
    <sheetView zoomScaleNormal="100" workbookViewId="0">
      <pane xSplit="8" ySplit="11" topLeftCell="I114" activePane="bottomRight" state="frozen"/>
      <selection activeCell="I6" sqref="I6:AR10"/>
      <selection pane="topRight" activeCell="I6" sqref="I6:AR10"/>
      <selection pane="bottomLeft" activeCell="I6" sqref="I6:AR10"/>
      <selection pane="bottomRight" activeCell="I6" sqref="I6:AR10"/>
    </sheetView>
  </sheetViews>
  <sheetFormatPr defaultColWidth="9.140625" defaultRowHeight="15" x14ac:dyDescent="0.25"/>
  <cols>
    <col min="1" max="1" width="5" style="233" customWidth="1"/>
    <col min="2" max="2" width="7.140625" style="175" bestFit="1" customWidth="1"/>
    <col min="3" max="3" width="9.28515625" style="267" customWidth="1"/>
    <col min="4" max="4" width="8.7109375" style="175" customWidth="1"/>
    <col min="5" max="5" width="34.85546875" style="175" customWidth="1"/>
    <col min="6" max="6" width="6.140625" style="175" customWidth="1"/>
    <col min="7" max="7" width="10.28515625" style="175" customWidth="1"/>
    <col min="8" max="8" width="8" style="175" customWidth="1"/>
    <col min="9" max="9" width="12.5703125" style="239" customWidth="1"/>
    <col min="10" max="10" width="11.85546875" style="239" customWidth="1"/>
    <col min="11" max="11" width="11.5703125" style="239" customWidth="1"/>
    <col min="12" max="12" width="11.7109375" style="239" customWidth="1"/>
    <col min="13" max="13" width="12.140625" style="239" customWidth="1"/>
    <col min="14" max="14" width="12.140625" style="732" customWidth="1"/>
    <col min="15" max="17" width="10.28515625" style="239" customWidth="1"/>
    <col min="18" max="18" width="11.28515625" style="239" customWidth="1"/>
    <col min="19" max="19" width="12.140625" style="462" customWidth="1"/>
    <col min="20" max="25" width="10.28515625" style="239" customWidth="1"/>
    <col min="26" max="27" width="10.42578125" style="240" customWidth="1"/>
    <col min="28" max="28" width="11.28515625" style="239" customWidth="1"/>
    <col min="29" max="29" width="10.42578125" style="239" customWidth="1"/>
    <col min="30" max="30" width="9.7109375" style="239" customWidth="1"/>
    <col min="31" max="31" width="10.28515625" style="240" customWidth="1"/>
    <col min="32" max="32" width="9.42578125" style="240" customWidth="1"/>
    <col min="33" max="33" width="10.140625" style="240" customWidth="1"/>
    <col min="34" max="34" width="8.5703125" style="240" customWidth="1"/>
    <col min="35" max="35" width="10.5703125" style="463" customWidth="1"/>
    <col min="36" max="36" width="10.140625" style="240" customWidth="1"/>
    <col min="37" max="37" width="9.140625" style="240" customWidth="1"/>
    <col min="38" max="38" width="12.7109375" style="240" customWidth="1"/>
    <col min="39" max="39" width="11.7109375" style="240" customWidth="1"/>
    <col min="40" max="40" width="10.85546875" style="240" customWidth="1"/>
    <col min="41" max="41" width="11.7109375" style="240" customWidth="1"/>
    <col min="42" max="42" width="10.85546875" style="240" customWidth="1"/>
    <col min="43" max="43" width="12" style="240" customWidth="1"/>
    <col min="44" max="44" width="11.5703125" style="240" customWidth="1"/>
    <col min="45" max="46" width="9.140625" style="175" customWidth="1"/>
    <col min="47" max="16384" width="9.140625" style="175"/>
  </cols>
  <sheetData>
    <row r="1" spans="1:44" x14ac:dyDescent="0.25">
      <c r="A1" s="321" t="s">
        <v>2</v>
      </c>
      <c r="B1" s="321"/>
      <c r="C1" s="173"/>
      <c r="D1" s="321"/>
      <c r="E1" s="321"/>
      <c r="F1" s="174"/>
      <c r="G1" s="174"/>
      <c r="H1" s="174"/>
      <c r="AB1" s="48"/>
      <c r="AC1" s="48"/>
      <c r="AD1" s="48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x14ac:dyDescent="0.25">
      <c r="A2" s="321" t="s">
        <v>3</v>
      </c>
      <c r="B2" s="321"/>
      <c r="C2" s="173"/>
      <c r="D2" s="321"/>
      <c r="E2" s="321"/>
      <c r="F2" s="174"/>
      <c r="G2" s="174"/>
      <c r="H2" s="174"/>
    </row>
    <row r="3" spans="1:44" x14ac:dyDescent="0.25">
      <c r="A3" s="973" t="s">
        <v>4</v>
      </c>
      <c r="B3" s="973"/>
      <c r="C3" s="973"/>
      <c r="D3" s="973"/>
      <c r="E3" s="973"/>
      <c r="F3" s="174"/>
      <c r="G3" s="174"/>
      <c r="H3" s="174"/>
      <c r="AC3" s="380"/>
    </row>
    <row r="4" spans="1:44" x14ac:dyDescent="0.25">
      <c r="A4" s="176"/>
      <c r="B4" s="321"/>
      <c r="C4" s="321"/>
      <c r="D4" s="321"/>
      <c r="E4" s="321"/>
      <c r="F4" s="174"/>
      <c r="G4" s="174"/>
      <c r="H4" s="174"/>
      <c r="O4" s="49"/>
      <c r="P4" s="90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  <c r="AF4" s="900"/>
      <c r="AG4" s="50"/>
      <c r="AH4" s="50"/>
      <c r="AI4" s="50"/>
      <c r="AJ4" s="50"/>
      <c r="AK4" s="50"/>
    </row>
    <row r="5" spans="1:44" ht="16.5" thickBot="1" x14ac:dyDescent="0.3">
      <c r="A5" s="127" t="s">
        <v>841</v>
      </c>
      <c r="B5" s="475"/>
      <c r="C5" s="475"/>
      <c r="D5" s="475"/>
      <c r="E5" s="474"/>
      <c r="F5" s="551"/>
      <c r="G5" s="551"/>
      <c r="H5" s="177"/>
      <c r="I5" s="177"/>
      <c r="J5" s="733"/>
      <c r="K5" s="733"/>
      <c r="L5" s="733"/>
      <c r="M5" s="733"/>
      <c r="N5" s="734"/>
      <c r="O5" s="322"/>
      <c r="P5" s="707" t="s">
        <v>832</v>
      </c>
      <c r="Q5" s="49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49"/>
      <c r="AC5" s="49"/>
      <c r="AD5" s="49"/>
      <c r="AE5" s="50"/>
      <c r="AF5" s="707" t="s">
        <v>832</v>
      </c>
      <c r="AG5" s="50"/>
      <c r="AH5" s="50"/>
      <c r="AI5" s="50"/>
      <c r="AJ5" s="50"/>
      <c r="AK5" s="50"/>
    </row>
    <row r="6" spans="1:44" ht="15" customHeight="1" thickBot="1" x14ac:dyDescent="0.3">
      <c r="A6" s="390"/>
      <c r="B6" s="391"/>
      <c r="C6" s="392"/>
      <c r="D6" s="392"/>
      <c r="E6" s="391"/>
      <c r="F6" s="391"/>
      <c r="G6" s="47"/>
      <c r="H6" s="174"/>
      <c r="I6" s="907" t="s">
        <v>801</v>
      </c>
      <c r="J6" s="908"/>
      <c r="K6" s="908"/>
      <c r="L6" s="908"/>
      <c r="M6" s="908"/>
      <c r="N6" s="909"/>
      <c r="O6" s="938" t="s">
        <v>822</v>
      </c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907" t="s">
        <v>840</v>
      </c>
      <c r="AM6" s="908"/>
      <c r="AN6" s="908"/>
      <c r="AO6" s="908"/>
      <c r="AP6" s="908"/>
      <c r="AQ6" s="908"/>
      <c r="AR6" s="909"/>
    </row>
    <row r="7" spans="1:44" ht="16.5" customHeight="1" thickBot="1" x14ac:dyDescent="0.3">
      <c r="A7" s="176"/>
      <c r="B7" s="178"/>
      <c r="C7" s="60"/>
      <c r="D7" s="179"/>
      <c r="E7" s="178"/>
      <c r="F7" s="174"/>
      <c r="G7" s="174"/>
      <c r="H7" s="174"/>
      <c r="I7" s="910"/>
      <c r="J7" s="911"/>
      <c r="K7" s="911"/>
      <c r="L7" s="911"/>
      <c r="M7" s="911"/>
      <c r="N7" s="912"/>
      <c r="O7" s="961" t="s">
        <v>773</v>
      </c>
      <c r="P7" s="961"/>
      <c r="Q7" s="961"/>
      <c r="R7" s="961"/>
      <c r="S7" s="961"/>
      <c r="T7" s="961"/>
      <c r="U7" s="962"/>
      <c r="V7" s="965" t="s">
        <v>774</v>
      </c>
      <c r="W7" s="966"/>
      <c r="X7" s="966"/>
      <c r="Y7" s="967"/>
      <c r="Z7" s="952" t="s">
        <v>793</v>
      </c>
      <c r="AA7" s="933" t="s">
        <v>5</v>
      </c>
      <c r="AB7" s="933" t="s">
        <v>266</v>
      </c>
      <c r="AC7" s="933" t="s">
        <v>802</v>
      </c>
      <c r="AD7" s="956" t="s">
        <v>275</v>
      </c>
      <c r="AE7" s="958" t="s">
        <v>828</v>
      </c>
      <c r="AF7" s="959"/>
      <c r="AG7" s="959"/>
      <c r="AH7" s="959"/>
      <c r="AI7" s="959"/>
      <c r="AJ7" s="959"/>
      <c r="AK7" s="960"/>
      <c r="AL7" s="910"/>
      <c r="AM7" s="911"/>
      <c r="AN7" s="911"/>
      <c r="AO7" s="911"/>
      <c r="AP7" s="911"/>
      <c r="AQ7" s="911"/>
      <c r="AR7" s="912"/>
    </row>
    <row r="8" spans="1:44" ht="15" customHeight="1" x14ac:dyDescent="0.25">
      <c r="A8" s="180"/>
      <c r="B8" s="181"/>
      <c r="C8" s="181"/>
      <c r="D8" s="181"/>
      <c r="E8" s="181"/>
      <c r="F8" s="181"/>
      <c r="G8" s="181"/>
      <c r="H8" s="181"/>
      <c r="I8" s="943" t="s">
        <v>6</v>
      </c>
      <c r="J8" s="941" t="s">
        <v>753</v>
      </c>
      <c r="K8" s="942"/>
      <c r="L8" s="942"/>
      <c r="M8" s="710"/>
      <c r="N8" s="913" t="s">
        <v>800</v>
      </c>
      <c r="O8" s="963"/>
      <c r="P8" s="963"/>
      <c r="Q8" s="963"/>
      <c r="R8" s="963"/>
      <c r="S8" s="963"/>
      <c r="T8" s="963"/>
      <c r="U8" s="964"/>
      <c r="V8" s="968"/>
      <c r="W8" s="963"/>
      <c r="X8" s="963"/>
      <c r="Y8" s="964"/>
      <c r="Z8" s="952"/>
      <c r="AA8" s="933"/>
      <c r="AB8" s="933"/>
      <c r="AC8" s="933"/>
      <c r="AD8" s="956"/>
      <c r="AE8" s="969" t="s">
        <v>267</v>
      </c>
      <c r="AF8" s="926" t="s">
        <v>268</v>
      </c>
      <c r="AG8" s="935" t="s">
        <v>790</v>
      </c>
      <c r="AH8" s="926" t="s">
        <v>762</v>
      </c>
      <c r="AI8" s="926" t="s">
        <v>791</v>
      </c>
      <c r="AJ8" s="929" t="s">
        <v>269</v>
      </c>
      <c r="AK8" s="948" t="s">
        <v>798</v>
      </c>
      <c r="AL8" s="923" t="s">
        <v>6</v>
      </c>
      <c r="AM8" s="920" t="s">
        <v>753</v>
      </c>
      <c r="AN8" s="920"/>
      <c r="AO8" s="920"/>
      <c r="AP8" s="920"/>
      <c r="AQ8" s="711"/>
      <c r="AR8" s="913" t="s">
        <v>800</v>
      </c>
    </row>
    <row r="9" spans="1:44" ht="40.5" customHeight="1" thickBot="1" x14ac:dyDescent="0.3">
      <c r="A9" s="182" t="s">
        <v>750</v>
      </c>
      <c r="B9" s="60"/>
      <c r="C9" s="60"/>
      <c r="D9" s="183"/>
      <c r="E9" s="60"/>
      <c r="F9" s="184"/>
      <c r="G9" s="185"/>
      <c r="H9" s="185"/>
      <c r="I9" s="944"/>
      <c r="J9" s="950" t="s">
        <v>259</v>
      </c>
      <c r="K9" s="901" t="s">
        <v>5</v>
      </c>
      <c r="L9" s="901" t="s">
        <v>1</v>
      </c>
      <c r="M9" s="901" t="s">
        <v>802</v>
      </c>
      <c r="N9" s="914"/>
      <c r="O9" s="905" t="s">
        <v>270</v>
      </c>
      <c r="P9" s="946" t="s">
        <v>788</v>
      </c>
      <c r="Q9" s="946" t="s">
        <v>762</v>
      </c>
      <c r="R9" s="931" t="s">
        <v>805</v>
      </c>
      <c r="S9" s="931" t="s">
        <v>791</v>
      </c>
      <c r="T9" s="931" t="s">
        <v>269</v>
      </c>
      <c r="U9" s="954" t="s">
        <v>763</v>
      </c>
      <c r="V9" s="931" t="s">
        <v>271</v>
      </c>
      <c r="W9" s="903" t="s">
        <v>792</v>
      </c>
      <c r="X9" s="931" t="s">
        <v>272</v>
      </c>
      <c r="Y9" s="954" t="s">
        <v>722</v>
      </c>
      <c r="Z9" s="952"/>
      <c r="AA9" s="933"/>
      <c r="AB9" s="933"/>
      <c r="AC9" s="933"/>
      <c r="AD9" s="956"/>
      <c r="AE9" s="970"/>
      <c r="AF9" s="927"/>
      <c r="AG9" s="936"/>
      <c r="AH9" s="927"/>
      <c r="AI9" s="927"/>
      <c r="AJ9" s="929"/>
      <c r="AK9" s="948"/>
      <c r="AL9" s="924"/>
      <c r="AM9" s="916" t="s">
        <v>259</v>
      </c>
      <c r="AN9" s="918" t="s">
        <v>265</v>
      </c>
      <c r="AO9" s="921" t="s">
        <v>5</v>
      </c>
      <c r="AP9" s="921" t="s">
        <v>1</v>
      </c>
      <c r="AQ9" s="921" t="s">
        <v>802</v>
      </c>
      <c r="AR9" s="914"/>
    </row>
    <row r="10" spans="1:44" ht="23.25" customHeight="1" thickBot="1" x14ac:dyDescent="0.3">
      <c r="A10" s="186" t="s">
        <v>729</v>
      </c>
      <c r="B10" s="187" t="s">
        <v>512</v>
      </c>
      <c r="C10" s="187" t="s">
        <v>513</v>
      </c>
      <c r="D10" s="187" t="s">
        <v>250</v>
      </c>
      <c r="E10" s="115" t="s">
        <v>731</v>
      </c>
      <c r="F10" s="187" t="s">
        <v>0</v>
      </c>
      <c r="G10" s="188" t="s">
        <v>251</v>
      </c>
      <c r="H10" s="33" t="s">
        <v>261</v>
      </c>
      <c r="I10" s="945"/>
      <c r="J10" s="951"/>
      <c r="K10" s="902"/>
      <c r="L10" s="902"/>
      <c r="M10" s="902"/>
      <c r="N10" s="915"/>
      <c r="O10" s="906"/>
      <c r="P10" s="947"/>
      <c r="Q10" s="947"/>
      <c r="R10" s="932"/>
      <c r="S10" s="932"/>
      <c r="T10" s="932"/>
      <c r="U10" s="955"/>
      <c r="V10" s="932"/>
      <c r="W10" s="904"/>
      <c r="X10" s="932"/>
      <c r="Y10" s="955"/>
      <c r="Z10" s="953"/>
      <c r="AA10" s="934"/>
      <c r="AB10" s="934"/>
      <c r="AC10" s="934"/>
      <c r="AD10" s="957"/>
      <c r="AE10" s="971"/>
      <c r="AF10" s="928"/>
      <c r="AG10" s="937"/>
      <c r="AH10" s="928"/>
      <c r="AI10" s="928"/>
      <c r="AJ10" s="930"/>
      <c r="AK10" s="949"/>
      <c r="AL10" s="925"/>
      <c r="AM10" s="917"/>
      <c r="AN10" s="919"/>
      <c r="AO10" s="922"/>
      <c r="AP10" s="922"/>
      <c r="AQ10" s="922"/>
      <c r="AR10" s="915"/>
    </row>
    <row r="11" spans="1:44" s="192" customFormat="1" ht="11.25" customHeight="1" thickBot="1" x14ac:dyDescent="0.25">
      <c r="A11" s="189" t="s">
        <v>514</v>
      </c>
      <c r="B11" s="190" t="s">
        <v>515</v>
      </c>
      <c r="C11" s="190" t="s">
        <v>252</v>
      </c>
      <c r="D11" s="190" t="s">
        <v>253</v>
      </c>
      <c r="E11" s="190" t="s">
        <v>516</v>
      </c>
      <c r="F11" s="190" t="s">
        <v>0</v>
      </c>
      <c r="G11" s="190" t="s">
        <v>517</v>
      </c>
      <c r="H11" s="191" t="s">
        <v>725</v>
      </c>
      <c r="I11" s="575" t="s">
        <v>254</v>
      </c>
      <c r="J11" s="533" t="s">
        <v>255</v>
      </c>
      <c r="K11" s="533" t="s">
        <v>256</v>
      </c>
      <c r="L11" s="533" t="s">
        <v>257</v>
      </c>
      <c r="M11" s="533" t="s">
        <v>804</v>
      </c>
      <c r="N11" s="576" t="s">
        <v>827</v>
      </c>
      <c r="O11" s="534" t="s">
        <v>776</v>
      </c>
      <c r="P11" s="533" t="s">
        <v>789</v>
      </c>
      <c r="Q11" s="533" t="s">
        <v>776</v>
      </c>
      <c r="R11" s="533" t="s">
        <v>776</v>
      </c>
      <c r="S11" s="533" t="s">
        <v>789</v>
      </c>
      <c r="T11" s="533" t="s">
        <v>789</v>
      </c>
      <c r="U11" s="533" t="s">
        <v>776</v>
      </c>
      <c r="V11" s="534" t="s">
        <v>777</v>
      </c>
      <c r="W11" s="533" t="s">
        <v>777</v>
      </c>
      <c r="X11" s="533" t="s">
        <v>777</v>
      </c>
      <c r="Y11" s="533" t="s">
        <v>777</v>
      </c>
      <c r="Z11" s="534" t="s">
        <v>775</v>
      </c>
      <c r="AA11" s="533" t="s">
        <v>273</v>
      </c>
      <c r="AB11" s="533" t="s">
        <v>274</v>
      </c>
      <c r="AC11" s="533" t="s">
        <v>803</v>
      </c>
      <c r="AD11" s="580" t="s">
        <v>276</v>
      </c>
      <c r="AE11" s="583" t="s">
        <v>826</v>
      </c>
      <c r="AF11" s="787" t="s">
        <v>826</v>
      </c>
      <c r="AG11" s="787" t="s">
        <v>826</v>
      </c>
      <c r="AH11" s="787" t="s">
        <v>826</v>
      </c>
      <c r="AI11" s="787" t="s">
        <v>826</v>
      </c>
      <c r="AJ11" s="787" t="s">
        <v>826</v>
      </c>
      <c r="AK11" s="584" t="s">
        <v>826</v>
      </c>
      <c r="AL11" s="534" t="s">
        <v>254</v>
      </c>
      <c r="AM11" s="533" t="s">
        <v>255</v>
      </c>
      <c r="AN11" s="533" t="s">
        <v>260</v>
      </c>
      <c r="AO11" s="533" t="s">
        <v>256</v>
      </c>
      <c r="AP11" s="533" t="s">
        <v>257</v>
      </c>
      <c r="AQ11" s="580" t="s">
        <v>804</v>
      </c>
      <c r="AR11" s="584" t="s">
        <v>827</v>
      </c>
    </row>
    <row r="12" spans="1:44" ht="12.95" customHeight="1" x14ac:dyDescent="0.25">
      <c r="A12" s="193">
        <v>1</v>
      </c>
      <c r="B12" s="242">
        <v>5489</v>
      </c>
      <c r="C12" s="243">
        <v>600099482</v>
      </c>
      <c r="D12" s="195">
        <v>71166289</v>
      </c>
      <c r="E12" s="244" t="s">
        <v>336</v>
      </c>
      <c r="F12" s="195">
        <v>3111</v>
      </c>
      <c r="G12" s="244" t="s">
        <v>290</v>
      </c>
      <c r="H12" s="245" t="s">
        <v>262</v>
      </c>
      <c r="I12" s="585">
        <f>SUM(J12:M12)</f>
        <v>3305358</v>
      </c>
      <c r="J12" s="524">
        <v>2452046</v>
      </c>
      <c r="K12" s="781">
        <f>ROUND(J12*33.8%,0)</f>
        <v>828792</v>
      </c>
      <c r="L12" s="781">
        <f>ROUND(J12*1%,0)</f>
        <v>24520</v>
      </c>
      <c r="M12" s="526">
        <v>0</v>
      </c>
      <c r="N12" s="815">
        <v>4.0644999999999998</v>
      </c>
      <c r="O12" s="638">
        <f>V12*-1</f>
        <v>0</v>
      </c>
      <c r="P12" s="526">
        <v>0</v>
      </c>
      <c r="Q12" s="526">
        <v>0</v>
      </c>
      <c r="R12" s="526">
        <v>0</v>
      </c>
      <c r="S12" s="526">
        <v>0</v>
      </c>
      <c r="T12" s="526">
        <v>0</v>
      </c>
      <c r="U12" s="526">
        <f>O12+P12+Q12+R12+S12+T12</f>
        <v>0</v>
      </c>
      <c r="V12" s="526">
        <v>0</v>
      </c>
      <c r="W12" s="526">
        <v>0</v>
      </c>
      <c r="X12" s="526">
        <v>0</v>
      </c>
      <c r="Y12" s="526">
        <f>V12+W12+X12</f>
        <v>0</v>
      </c>
      <c r="Z12" s="526">
        <f>U12+Y12</f>
        <v>0</v>
      </c>
      <c r="AA12" s="639">
        <f>ROUND((U12+Y12)*33.8%,0)</f>
        <v>0</v>
      </c>
      <c r="AB12" s="639">
        <f>ROUND(U12*1%,0)</f>
        <v>0</v>
      </c>
      <c r="AC12" s="526">
        <v>0</v>
      </c>
      <c r="AD12" s="825">
        <f>Z12+AA12+AB12+AC12</f>
        <v>0</v>
      </c>
      <c r="AE12" s="624">
        <v>0</v>
      </c>
      <c r="AF12" s="525">
        <v>0</v>
      </c>
      <c r="AG12" s="525">
        <v>0</v>
      </c>
      <c r="AH12" s="525">
        <v>0</v>
      </c>
      <c r="AI12" s="525">
        <v>0</v>
      </c>
      <c r="AJ12" s="525">
        <v>0</v>
      </c>
      <c r="AK12" s="625">
        <f>SUM(AE12:AJ12)</f>
        <v>0</v>
      </c>
      <c r="AL12" s="638">
        <f>I12+AD12</f>
        <v>3305358</v>
      </c>
      <c r="AM12" s="526">
        <f>J12+U12</f>
        <v>2452046</v>
      </c>
      <c r="AN12" s="526">
        <f>Y12</f>
        <v>0</v>
      </c>
      <c r="AO12" s="526">
        <f t="shared" ref="AO12:AQ13" si="0">K12+AA12</f>
        <v>828792</v>
      </c>
      <c r="AP12" s="526">
        <f t="shared" si="0"/>
        <v>24520</v>
      </c>
      <c r="AQ12" s="526">
        <f t="shared" si="0"/>
        <v>0</v>
      </c>
      <c r="AR12" s="625">
        <f>N12+AK12</f>
        <v>4.0644999999999998</v>
      </c>
    </row>
    <row r="13" spans="1:44" ht="12.95" customHeight="1" x14ac:dyDescent="0.25">
      <c r="A13" s="205">
        <v>1</v>
      </c>
      <c r="B13" s="246">
        <v>5489</v>
      </c>
      <c r="C13" s="247">
        <v>600099482</v>
      </c>
      <c r="D13" s="206">
        <v>71166289</v>
      </c>
      <c r="E13" s="248" t="s">
        <v>336</v>
      </c>
      <c r="F13" s="206">
        <v>3111</v>
      </c>
      <c r="G13" s="248" t="s">
        <v>284</v>
      </c>
      <c r="H13" s="209" t="s">
        <v>263</v>
      </c>
      <c r="I13" s="586">
        <f t="shared" ref="I13" si="1">SUM(J13:M13)</f>
        <v>0</v>
      </c>
      <c r="J13" s="490"/>
      <c r="K13" s="431">
        <f>ROUND(J13*33.8%,0)</f>
        <v>0</v>
      </c>
      <c r="L13" s="431">
        <f>ROUND(J13*1%,0)</f>
        <v>0</v>
      </c>
      <c r="M13" s="325">
        <v>0</v>
      </c>
      <c r="N13" s="752"/>
      <c r="O13" s="327">
        <f>V13*-1</f>
        <v>0</v>
      </c>
      <c r="P13" s="492">
        <v>0</v>
      </c>
      <c r="Q13" s="325">
        <v>0</v>
      </c>
      <c r="R13" s="325">
        <v>0</v>
      </c>
      <c r="S13" s="325">
        <v>0</v>
      </c>
      <c r="T13" s="325">
        <v>0</v>
      </c>
      <c r="U13" s="492">
        <f>O13+P13+Q13+R13+S13+T13</f>
        <v>0</v>
      </c>
      <c r="V13" s="325">
        <v>0</v>
      </c>
      <c r="W13" s="325">
        <v>0</v>
      </c>
      <c r="X13" s="325">
        <v>0</v>
      </c>
      <c r="Y13" s="492">
        <f>V13+W13+X13</f>
        <v>0</v>
      </c>
      <c r="Z13" s="492">
        <f>U13+Y13</f>
        <v>0</v>
      </c>
      <c r="AA13" s="494">
        <f>ROUND((U13+Y13)*33.8%,0)</f>
        <v>0</v>
      </c>
      <c r="AB13" s="494">
        <f>ROUND(U13*1%,0)</f>
        <v>0</v>
      </c>
      <c r="AC13" s="492">
        <v>0</v>
      </c>
      <c r="AD13" s="789">
        <f>Z13+AA13+AB13+AC13</f>
        <v>0</v>
      </c>
      <c r="AE13" s="715">
        <v>0</v>
      </c>
      <c r="AF13" s="491">
        <v>0</v>
      </c>
      <c r="AG13" s="326">
        <v>0</v>
      </c>
      <c r="AH13" s="326">
        <v>0</v>
      </c>
      <c r="AI13" s="326">
        <v>0</v>
      </c>
      <c r="AJ13" s="326">
        <v>0</v>
      </c>
      <c r="AK13" s="626">
        <f>SUM(AE13:AJ13)</f>
        <v>0</v>
      </c>
      <c r="AL13" s="696">
        <f>I13+AD13</f>
        <v>0</v>
      </c>
      <c r="AM13" s="492">
        <f>J13+U13</f>
        <v>0</v>
      </c>
      <c r="AN13" s="492">
        <f>Y13</f>
        <v>0</v>
      </c>
      <c r="AO13" s="492">
        <f t="shared" si="0"/>
        <v>0</v>
      </c>
      <c r="AP13" s="492">
        <f t="shared" si="0"/>
        <v>0</v>
      </c>
      <c r="AQ13" s="492">
        <f t="shared" si="0"/>
        <v>0</v>
      </c>
      <c r="AR13" s="626">
        <f>N13+AK13</f>
        <v>0</v>
      </c>
    </row>
    <row r="14" spans="1:44" ht="12.95" customHeight="1" x14ac:dyDescent="0.25">
      <c r="A14" s="249">
        <v>1</v>
      </c>
      <c r="B14" s="250">
        <v>5489</v>
      </c>
      <c r="C14" s="251">
        <v>600099482</v>
      </c>
      <c r="D14" s="250">
        <v>71166289</v>
      </c>
      <c r="E14" s="252" t="s">
        <v>337</v>
      </c>
      <c r="F14" s="200"/>
      <c r="G14" s="252"/>
      <c r="H14" s="214"/>
      <c r="I14" s="686">
        <f t="shared" ref="I14:AR14" si="2">SUM(I12:I13)</f>
        <v>3305358</v>
      </c>
      <c r="J14" s="355">
        <f t="shared" si="2"/>
        <v>2452046</v>
      </c>
      <c r="K14" s="355">
        <f t="shared" si="2"/>
        <v>828792</v>
      </c>
      <c r="L14" s="355">
        <f t="shared" si="2"/>
        <v>24520</v>
      </c>
      <c r="M14" s="355">
        <f t="shared" ref="M14" si="3">SUM(M12:M13)</f>
        <v>0</v>
      </c>
      <c r="N14" s="816">
        <f t="shared" si="2"/>
        <v>4.0644999999999998</v>
      </c>
      <c r="O14" s="686">
        <f t="shared" si="2"/>
        <v>0</v>
      </c>
      <c r="P14" s="355">
        <f t="shared" si="2"/>
        <v>0</v>
      </c>
      <c r="Q14" s="355">
        <f t="shared" si="2"/>
        <v>0</v>
      </c>
      <c r="R14" s="355">
        <f t="shared" si="2"/>
        <v>0</v>
      </c>
      <c r="S14" s="355">
        <f t="shared" si="2"/>
        <v>0</v>
      </c>
      <c r="T14" s="355">
        <f t="shared" si="2"/>
        <v>0</v>
      </c>
      <c r="U14" s="355">
        <f t="shared" si="2"/>
        <v>0</v>
      </c>
      <c r="V14" s="355">
        <f t="shared" si="2"/>
        <v>0</v>
      </c>
      <c r="W14" s="355">
        <f t="shared" si="2"/>
        <v>0</v>
      </c>
      <c r="X14" s="355">
        <f t="shared" si="2"/>
        <v>0</v>
      </c>
      <c r="Y14" s="355">
        <f t="shared" si="2"/>
        <v>0</v>
      </c>
      <c r="Z14" s="355">
        <f t="shared" si="2"/>
        <v>0</v>
      </c>
      <c r="AA14" s="355">
        <f t="shared" si="2"/>
        <v>0</v>
      </c>
      <c r="AB14" s="355">
        <f t="shared" si="2"/>
        <v>0</v>
      </c>
      <c r="AC14" s="355">
        <f t="shared" si="2"/>
        <v>0</v>
      </c>
      <c r="AD14" s="683">
        <f t="shared" si="2"/>
        <v>0</v>
      </c>
      <c r="AE14" s="829">
        <v>0</v>
      </c>
      <c r="AF14" s="356">
        <f t="shared" si="2"/>
        <v>0</v>
      </c>
      <c r="AG14" s="356">
        <f t="shared" si="2"/>
        <v>0</v>
      </c>
      <c r="AH14" s="356">
        <f t="shared" si="2"/>
        <v>0</v>
      </c>
      <c r="AI14" s="356">
        <f t="shared" si="2"/>
        <v>0</v>
      </c>
      <c r="AJ14" s="356">
        <f t="shared" si="2"/>
        <v>0</v>
      </c>
      <c r="AK14" s="253">
        <f t="shared" si="2"/>
        <v>0</v>
      </c>
      <c r="AL14" s="686">
        <f t="shared" si="2"/>
        <v>3305358</v>
      </c>
      <c r="AM14" s="355">
        <f t="shared" si="2"/>
        <v>2452046</v>
      </c>
      <c r="AN14" s="355">
        <f t="shared" si="2"/>
        <v>0</v>
      </c>
      <c r="AO14" s="355">
        <f t="shared" si="2"/>
        <v>828792</v>
      </c>
      <c r="AP14" s="355">
        <f t="shared" si="2"/>
        <v>24520</v>
      </c>
      <c r="AQ14" s="355">
        <f t="shared" si="2"/>
        <v>0</v>
      </c>
      <c r="AR14" s="253">
        <f t="shared" si="2"/>
        <v>4.0644999999999998</v>
      </c>
    </row>
    <row r="15" spans="1:44" ht="12.95" customHeight="1" x14ac:dyDescent="0.25">
      <c r="A15" s="205">
        <v>2</v>
      </c>
      <c r="B15" s="246">
        <v>5451</v>
      </c>
      <c r="C15" s="247">
        <v>600098893</v>
      </c>
      <c r="D15" s="206">
        <v>70939331</v>
      </c>
      <c r="E15" s="248" t="s">
        <v>338</v>
      </c>
      <c r="F15" s="206">
        <v>3111</v>
      </c>
      <c r="G15" s="248" t="s">
        <v>290</v>
      </c>
      <c r="H15" s="209" t="s">
        <v>262</v>
      </c>
      <c r="I15" s="627">
        <f t="shared" ref="I15:I16" si="4">SUM(J15:M15)</f>
        <v>10062585</v>
      </c>
      <c r="J15" s="559">
        <v>7464826</v>
      </c>
      <c r="K15" s="431">
        <f t="shared" ref="K15:K16" si="5">ROUND(J15*33.8%,0)</f>
        <v>2523111</v>
      </c>
      <c r="L15" s="431">
        <f t="shared" ref="L15:L16" si="6">ROUND(J15*1%,0)</f>
        <v>74648</v>
      </c>
      <c r="M15" s="325">
        <v>0</v>
      </c>
      <c r="N15" s="751">
        <v>12.2258</v>
      </c>
      <c r="O15" s="327">
        <f>V15*-1</f>
        <v>0</v>
      </c>
      <c r="P15" s="492">
        <v>0</v>
      </c>
      <c r="Q15" s="325">
        <v>0</v>
      </c>
      <c r="R15" s="325">
        <v>0</v>
      </c>
      <c r="S15" s="325">
        <v>0</v>
      </c>
      <c r="T15" s="325">
        <v>0</v>
      </c>
      <c r="U15" s="492">
        <f>O15+P15+Q15+R15+S15+T15</f>
        <v>0</v>
      </c>
      <c r="V15" s="325">
        <v>0</v>
      </c>
      <c r="W15" s="325">
        <v>0</v>
      </c>
      <c r="X15" s="325">
        <v>0</v>
      </c>
      <c r="Y15" s="492">
        <f t="shared" ref="Y15:Y16" si="7">V15+W15+X15</f>
        <v>0</v>
      </c>
      <c r="Z15" s="492">
        <f t="shared" ref="Z15:Z16" si="8">U15+Y15</f>
        <v>0</v>
      </c>
      <c r="AA15" s="494">
        <f t="shared" ref="AA15:AA16" si="9">ROUND((U15+Y15)*33.8%,0)</f>
        <v>0</v>
      </c>
      <c r="AB15" s="494">
        <f t="shared" ref="AB15:AB16" si="10">ROUND(U15*1%,0)</f>
        <v>0</v>
      </c>
      <c r="AC15" s="492">
        <v>0</v>
      </c>
      <c r="AD15" s="789">
        <f t="shared" ref="AD15:AD16" si="11">Z15+AA15+AB15+AC15</f>
        <v>0</v>
      </c>
      <c r="AE15" s="715">
        <v>0</v>
      </c>
      <c r="AF15" s="491">
        <v>0</v>
      </c>
      <c r="AG15" s="326">
        <v>0</v>
      </c>
      <c r="AH15" s="326">
        <v>0</v>
      </c>
      <c r="AI15" s="326">
        <v>0</v>
      </c>
      <c r="AJ15" s="326">
        <v>0</v>
      </c>
      <c r="AK15" s="626">
        <f>SUM(AE15:AJ15)</f>
        <v>0</v>
      </c>
      <c r="AL15" s="696">
        <f>I15+AD15</f>
        <v>10062585</v>
      </c>
      <c r="AM15" s="492">
        <f>J15+U15</f>
        <v>7464826</v>
      </c>
      <c r="AN15" s="492">
        <f>Y15</f>
        <v>0</v>
      </c>
      <c r="AO15" s="492">
        <f t="shared" ref="AO15:AQ16" si="12">K15+AA15</f>
        <v>2523111</v>
      </c>
      <c r="AP15" s="492">
        <f t="shared" si="12"/>
        <v>74648</v>
      </c>
      <c r="AQ15" s="492">
        <f t="shared" si="12"/>
        <v>0</v>
      </c>
      <c r="AR15" s="626">
        <f>N15+AK15</f>
        <v>12.2258</v>
      </c>
    </row>
    <row r="16" spans="1:44" ht="12.95" customHeight="1" x14ac:dyDescent="0.25">
      <c r="A16" s="205">
        <v>2</v>
      </c>
      <c r="B16" s="246">
        <v>5451</v>
      </c>
      <c r="C16" s="247">
        <v>600098893</v>
      </c>
      <c r="D16" s="206">
        <v>70939331</v>
      </c>
      <c r="E16" s="248" t="s">
        <v>338</v>
      </c>
      <c r="F16" s="206">
        <v>3111</v>
      </c>
      <c r="G16" s="248" t="s">
        <v>279</v>
      </c>
      <c r="H16" s="209" t="s">
        <v>262</v>
      </c>
      <c r="I16" s="586">
        <f t="shared" si="4"/>
        <v>603349</v>
      </c>
      <c r="J16" s="490">
        <v>447588</v>
      </c>
      <c r="K16" s="431">
        <f t="shared" si="5"/>
        <v>151285</v>
      </c>
      <c r="L16" s="431">
        <f t="shared" si="6"/>
        <v>4476</v>
      </c>
      <c r="M16" s="325">
        <v>0</v>
      </c>
      <c r="N16" s="752">
        <v>1</v>
      </c>
      <c r="O16" s="327">
        <f>V16*-1</f>
        <v>0</v>
      </c>
      <c r="P16" s="492">
        <v>0</v>
      </c>
      <c r="Q16" s="325">
        <v>0</v>
      </c>
      <c r="R16" s="325">
        <v>0</v>
      </c>
      <c r="S16" s="325">
        <v>0</v>
      </c>
      <c r="T16" s="325">
        <v>0</v>
      </c>
      <c r="U16" s="492">
        <f>O16+P16+Q16+R16+S16+T16</f>
        <v>0</v>
      </c>
      <c r="V16" s="325">
        <v>0</v>
      </c>
      <c r="W16" s="325">
        <v>0</v>
      </c>
      <c r="X16" s="325">
        <v>0</v>
      </c>
      <c r="Y16" s="492">
        <f t="shared" si="7"/>
        <v>0</v>
      </c>
      <c r="Z16" s="492">
        <f t="shared" si="8"/>
        <v>0</v>
      </c>
      <c r="AA16" s="494">
        <f t="shared" si="9"/>
        <v>0</v>
      </c>
      <c r="AB16" s="494">
        <f t="shared" si="10"/>
        <v>0</v>
      </c>
      <c r="AC16" s="492">
        <v>0</v>
      </c>
      <c r="AD16" s="789">
        <f t="shared" si="11"/>
        <v>0</v>
      </c>
      <c r="AE16" s="715">
        <v>0</v>
      </c>
      <c r="AF16" s="491">
        <v>0</v>
      </c>
      <c r="AG16" s="326">
        <v>0</v>
      </c>
      <c r="AH16" s="326">
        <v>0</v>
      </c>
      <c r="AI16" s="326">
        <v>0</v>
      </c>
      <c r="AJ16" s="326">
        <v>0</v>
      </c>
      <c r="AK16" s="626">
        <f>SUM(AE16:AJ16)</f>
        <v>0</v>
      </c>
      <c r="AL16" s="696">
        <f>I16+AD16</f>
        <v>603349</v>
      </c>
      <c r="AM16" s="492">
        <f>J16+U16</f>
        <v>447588</v>
      </c>
      <c r="AN16" s="492">
        <f>Y16</f>
        <v>0</v>
      </c>
      <c r="AO16" s="492">
        <f t="shared" si="12"/>
        <v>151285</v>
      </c>
      <c r="AP16" s="492">
        <f t="shared" si="12"/>
        <v>4476</v>
      </c>
      <c r="AQ16" s="492">
        <f t="shared" si="12"/>
        <v>0</v>
      </c>
      <c r="AR16" s="626">
        <f>N16+AK16</f>
        <v>1</v>
      </c>
    </row>
    <row r="17" spans="1:44" ht="12.95" customHeight="1" x14ac:dyDescent="0.25">
      <c r="A17" s="249">
        <v>2</v>
      </c>
      <c r="B17" s="250">
        <v>5451</v>
      </c>
      <c r="C17" s="251">
        <v>600098893</v>
      </c>
      <c r="D17" s="250">
        <v>70939331</v>
      </c>
      <c r="E17" s="252" t="s">
        <v>339</v>
      </c>
      <c r="F17" s="200"/>
      <c r="G17" s="252"/>
      <c r="H17" s="214"/>
      <c r="I17" s="686">
        <f t="shared" ref="I17:AR17" si="13">SUM(I15:I16)</f>
        <v>10665934</v>
      </c>
      <c r="J17" s="355">
        <f t="shared" si="13"/>
        <v>7912414</v>
      </c>
      <c r="K17" s="355">
        <f t="shared" si="13"/>
        <v>2674396</v>
      </c>
      <c r="L17" s="355">
        <f t="shared" si="13"/>
        <v>79124</v>
      </c>
      <c r="M17" s="355">
        <f t="shared" ref="M17" si="14">SUM(M15:M16)</f>
        <v>0</v>
      </c>
      <c r="N17" s="816">
        <f t="shared" si="13"/>
        <v>13.2258</v>
      </c>
      <c r="O17" s="686">
        <f t="shared" si="13"/>
        <v>0</v>
      </c>
      <c r="P17" s="355">
        <f t="shared" si="13"/>
        <v>0</v>
      </c>
      <c r="Q17" s="355">
        <f t="shared" si="13"/>
        <v>0</v>
      </c>
      <c r="R17" s="355">
        <f t="shared" si="13"/>
        <v>0</v>
      </c>
      <c r="S17" s="355">
        <f t="shared" si="13"/>
        <v>0</v>
      </c>
      <c r="T17" s="355">
        <f t="shared" si="13"/>
        <v>0</v>
      </c>
      <c r="U17" s="355">
        <f t="shared" si="13"/>
        <v>0</v>
      </c>
      <c r="V17" s="355">
        <f t="shared" si="13"/>
        <v>0</v>
      </c>
      <c r="W17" s="355">
        <f t="shared" si="13"/>
        <v>0</v>
      </c>
      <c r="X17" s="355">
        <f t="shared" si="13"/>
        <v>0</v>
      </c>
      <c r="Y17" s="355">
        <f t="shared" si="13"/>
        <v>0</v>
      </c>
      <c r="Z17" s="355">
        <f t="shared" si="13"/>
        <v>0</v>
      </c>
      <c r="AA17" s="355">
        <f t="shared" si="13"/>
        <v>0</v>
      </c>
      <c r="AB17" s="355">
        <f t="shared" si="13"/>
        <v>0</v>
      </c>
      <c r="AC17" s="355">
        <f t="shared" si="13"/>
        <v>0</v>
      </c>
      <c r="AD17" s="683">
        <f t="shared" si="13"/>
        <v>0</v>
      </c>
      <c r="AE17" s="829">
        <v>0</v>
      </c>
      <c r="AF17" s="356">
        <f t="shared" si="13"/>
        <v>0</v>
      </c>
      <c r="AG17" s="356">
        <f t="shared" si="13"/>
        <v>0</v>
      </c>
      <c r="AH17" s="356">
        <f t="shared" si="13"/>
        <v>0</v>
      </c>
      <c r="AI17" s="356">
        <f t="shared" si="13"/>
        <v>0</v>
      </c>
      <c r="AJ17" s="356">
        <f t="shared" si="13"/>
        <v>0</v>
      </c>
      <c r="AK17" s="253">
        <f t="shared" si="13"/>
        <v>0</v>
      </c>
      <c r="AL17" s="686">
        <f t="shared" si="13"/>
        <v>10665934</v>
      </c>
      <c r="AM17" s="355">
        <f t="shared" si="13"/>
        <v>7912414</v>
      </c>
      <c r="AN17" s="355">
        <f t="shared" si="13"/>
        <v>0</v>
      </c>
      <c r="AO17" s="355">
        <f t="shared" si="13"/>
        <v>2674396</v>
      </c>
      <c r="AP17" s="355">
        <f t="shared" si="13"/>
        <v>79124</v>
      </c>
      <c r="AQ17" s="355">
        <f t="shared" si="13"/>
        <v>0</v>
      </c>
      <c r="AR17" s="253">
        <f t="shared" si="13"/>
        <v>13.2258</v>
      </c>
    </row>
    <row r="18" spans="1:44" ht="12.95" customHeight="1" x14ac:dyDescent="0.25">
      <c r="A18" s="205">
        <v>3</v>
      </c>
      <c r="B18" s="246">
        <v>5450</v>
      </c>
      <c r="C18" s="247">
        <v>600098834</v>
      </c>
      <c r="D18" s="206">
        <v>70939322</v>
      </c>
      <c r="E18" s="248" t="s">
        <v>759</v>
      </c>
      <c r="F18" s="206">
        <v>3111</v>
      </c>
      <c r="G18" s="248" t="s">
        <v>290</v>
      </c>
      <c r="H18" s="209" t="s">
        <v>262</v>
      </c>
      <c r="I18" s="627">
        <f t="shared" ref="I18:I19" si="15">SUM(J18:M18)</f>
        <v>6617969</v>
      </c>
      <c r="J18" s="559">
        <v>4909472</v>
      </c>
      <c r="K18" s="431">
        <f t="shared" ref="K18:K19" si="16">ROUND(J18*33.8%,0)</f>
        <v>1659402</v>
      </c>
      <c r="L18" s="431">
        <f t="shared" ref="L18:L19" si="17">ROUND(J18*1%,0)</f>
        <v>49095</v>
      </c>
      <c r="M18" s="325">
        <v>0</v>
      </c>
      <c r="N18" s="751">
        <v>8.0105000000000004</v>
      </c>
      <c r="O18" s="327">
        <f>V18*-1</f>
        <v>-12000</v>
      </c>
      <c r="P18" s="492">
        <v>0</v>
      </c>
      <c r="Q18" s="325">
        <v>0</v>
      </c>
      <c r="R18" s="325">
        <v>0</v>
      </c>
      <c r="S18" s="325">
        <v>0</v>
      </c>
      <c r="T18" s="325">
        <v>0</v>
      </c>
      <c r="U18" s="492">
        <f>O18+P18+Q18+R18+S18+T18</f>
        <v>-12000</v>
      </c>
      <c r="V18" s="325">
        <v>12000</v>
      </c>
      <c r="W18" s="325">
        <v>0</v>
      </c>
      <c r="X18" s="325">
        <v>0</v>
      </c>
      <c r="Y18" s="492">
        <f t="shared" ref="Y18:Y19" si="18">V18+W18+X18</f>
        <v>12000</v>
      </c>
      <c r="Z18" s="492">
        <f t="shared" ref="Z18:Z19" si="19">U18+Y18</f>
        <v>0</v>
      </c>
      <c r="AA18" s="494">
        <f t="shared" ref="AA18:AA19" si="20">ROUND((U18+Y18)*33.8%,0)</f>
        <v>0</v>
      </c>
      <c r="AB18" s="494">
        <f t="shared" ref="AB18:AB19" si="21">ROUND(U18*1%,0)</f>
        <v>-120</v>
      </c>
      <c r="AC18" s="492">
        <v>0</v>
      </c>
      <c r="AD18" s="789">
        <f t="shared" ref="AD18:AD19" si="22">Z18+AA18+AB18+AC18</f>
        <v>-120</v>
      </c>
      <c r="AE18" s="715">
        <v>0</v>
      </c>
      <c r="AF18" s="491">
        <v>0</v>
      </c>
      <c r="AG18" s="326">
        <v>0</v>
      </c>
      <c r="AH18" s="326">
        <v>0</v>
      </c>
      <c r="AI18" s="326">
        <v>0</v>
      </c>
      <c r="AJ18" s="326">
        <v>0</v>
      </c>
      <c r="AK18" s="626">
        <f>SUM(AE18:AJ18)</f>
        <v>0</v>
      </c>
      <c r="AL18" s="696">
        <f>I18+AD18</f>
        <v>6617849</v>
      </c>
      <c r="AM18" s="492">
        <f>J18+U18</f>
        <v>4897472</v>
      </c>
      <c r="AN18" s="492">
        <f>Y18</f>
        <v>12000</v>
      </c>
      <c r="AO18" s="492">
        <f t="shared" ref="AO18:AQ19" si="23">K18+AA18</f>
        <v>1659402</v>
      </c>
      <c r="AP18" s="492">
        <f t="shared" si="23"/>
        <v>48975</v>
      </c>
      <c r="AQ18" s="492">
        <f t="shared" si="23"/>
        <v>0</v>
      </c>
      <c r="AR18" s="626">
        <f>N18+AK18</f>
        <v>8.0105000000000004</v>
      </c>
    </row>
    <row r="19" spans="1:44" ht="12.95" customHeight="1" x14ac:dyDescent="0.25">
      <c r="A19" s="205">
        <v>3</v>
      </c>
      <c r="B19" s="246">
        <v>5450</v>
      </c>
      <c r="C19" s="247">
        <v>600098834</v>
      </c>
      <c r="D19" s="206">
        <v>70939322</v>
      </c>
      <c r="E19" s="248" t="s">
        <v>759</v>
      </c>
      <c r="F19" s="206">
        <v>3111</v>
      </c>
      <c r="G19" s="248" t="s">
        <v>284</v>
      </c>
      <c r="H19" s="209" t="s">
        <v>263</v>
      </c>
      <c r="I19" s="586">
        <f t="shared" si="15"/>
        <v>0</v>
      </c>
      <c r="J19" s="490"/>
      <c r="K19" s="431">
        <f t="shared" si="16"/>
        <v>0</v>
      </c>
      <c r="L19" s="431">
        <f t="shared" si="17"/>
        <v>0</v>
      </c>
      <c r="M19" s="325">
        <v>0</v>
      </c>
      <c r="N19" s="752"/>
      <c r="O19" s="327">
        <f>V19*-1</f>
        <v>0</v>
      </c>
      <c r="P19" s="492">
        <v>352757</v>
      </c>
      <c r="Q19" s="325">
        <v>0</v>
      </c>
      <c r="R19" s="325">
        <v>0</v>
      </c>
      <c r="S19" s="325">
        <v>0</v>
      </c>
      <c r="T19" s="325">
        <v>0</v>
      </c>
      <c r="U19" s="492">
        <f>O19+P19+Q19+R19+S19+T19</f>
        <v>352757</v>
      </c>
      <c r="V19" s="325">
        <v>0</v>
      </c>
      <c r="W19" s="325">
        <v>0</v>
      </c>
      <c r="X19" s="325">
        <v>0</v>
      </c>
      <c r="Y19" s="492">
        <f t="shared" si="18"/>
        <v>0</v>
      </c>
      <c r="Z19" s="492">
        <f t="shared" si="19"/>
        <v>352757</v>
      </c>
      <c r="AA19" s="494">
        <f t="shared" si="20"/>
        <v>119232</v>
      </c>
      <c r="AB19" s="494">
        <f t="shared" si="21"/>
        <v>3528</v>
      </c>
      <c r="AC19" s="492">
        <v>0</v>
      </c>
      <c r="AD19" s="789">
        <f t="shared" si="22"/>
        <v>475517</v>
      </c>
      <c r="AE19" s="715">
        <v>0</v>
      </c>
      <c r="AF19" s="491">
        <v>0.89</v>
      </c>
      <c r="AG19" s="326">
        <v>0</v>
      </c>
      <c r="AH19" s="326">
        <v>0</v>
      </c>
      <c r="AI19" s="326">
        <v>0</v>
      </c>
      <c r="AJ19" s="326">
        <v>0</v>
      </c>
      <c r="AK19" s="626">
        <f>SUM(AE19:AJ19)</f>
        <v>0.89</v>
      </c>
      <c r="AL19" s="696">
        <f>I19+AD19</f>
        <v>475517</v>
      </c>
      <c r="AM19" s="492">
        <f>J19+U19</f>
        <v>352757</v>
      </c>
      <c r="AN19" s="492">
        <f>Y19</f>
        <v>0</v>
      </c>
      <c r="AO19" s="492">
        <f t="shared" si="23"/>
        <v>119232</v>
      </c>
      <c r="AP19" s="492">
        <f t="shared" si="23"/>
        <v>3528</v>
      </c>
      <c r="AQ19" s="492">
        <f t="shared" si="23"/>
        <v>0</v>
      </c>
      <c r="AR19" s="626">
        <f>N19+AK19</f>
        <v>0.89</v>
      </c>
    </row>
    <row r="20" spans="1:44" ht="12.95" customHeight="1" x14ac:dyDescent="0.25">
      <c r="A20" s="249">
        <v>3</v>
      </c>
      <c r="B20" s="250">
        <v>5450</v>
      </c>
      <c r="C20" s="251">
        <v>600098834</v>
      </c>
      <c r="D20" s="250">
        <v>70939322</v>
      </c>
      <c r="E20" s="252" t="s">
        <v>340</v>
      </c>
      <c r="F20" s="216"/>
      <c r="G20" s="254"/>
      <c r="H20" s="217"/>
      <c r="I20" s="686">
        <f t="shared" ref="I20:AR20" si="24">SUM(I18:I19)</f>
        <v>6617969</v>
      </c>
      <c r="J20" s="355">
        <f t="shared" si="24"/>
        <v>4909472</v>
      </c>
      <c r="K20" s="355">
        <f t="shared" si="24"/>
        <v>1659402</v>
      </c>
      <c r="L20" s="355">
        <f t="shared" si="24"/>
        <v>49095</v>
      </c>
      <c r="M20" s="355">
        <f t="shared" ref="M20" si="25">SUM(M18:M19)</f>
        <v>0</v>
      </c>
      <c r="N20" s="816">
        <f t="shared" si="24"/>
        <v>8.0105000000000004</v>
      </c>
      <c r="O20" s="686">
        <f t="shared" si="24"/>
        <v>-12000</v>
      </c>
      <c r="P20" s="355">
        <f t="shared" si="24"/>
        <v>352757</v>
      </c>
      <c r="Q20" s="355">
        <f t="shared" si="24"/>
        <v>0</v>
      </c>
      <c r="R20" s="355">
        <f t="shared" si="24"/>
        <v>0</v>
      </c>
      <c r="S20" s="355">
        <f t="shared" si="24"/>
        <v>0</v>
      </c>
      <c r="T20" s="355">
        <f t="shared" si="24"/>
        <v>0</v>
      </c>
      <c r="U20" s="355">
        <f t="shared" si="24"/>
        <v>340757</v>
      </c>
      <c r="V20" s="355">
        <f t="shared" si="24"/>
        <v>12000</v>
      </c>
      <c r="W20" s="355">
        <f t="shared" si="24"/>
        <v>0</v>
      </c>
      <c r="X20" s="355">
        <f t="shared" si="24"/>
        <v>0</v>
      </c>
      <c r="Y20" s="355">
        <f t="shared" si="24"/>
        <v>12000</v>
      </c>
      <c r="Z20" s="355">
        <f t="shared" si="24"/>
        <v>352757</v>
      </c>
      <c r="AA20" s="355">
        <f t="shared" si="24"/>
        <v>119232</v>
      </c>
      <c r="AB20" s="355">
        <f t="shared" si="24"/>
        <v>3408</v>
      </c>
      <c r="AC20" s="355">
        <f t="shared" si="24"/>
        <v>0</v>
      </c>
      <c r="AD20" s="683">
        <f t="shared" si="24"/>
        <v>475397</v>
      </c>
      <c r="AE20" s="829">
        <v>0</v>
      </c>
      <c r="AF20" s="356">
        <f t="shared" si="24"/>
        <v>0.89</v>
      </c>
      <c r="AG20" s="356">
        <f t="shared" si="24"/>
        <v>0</v>
      </c>
      <c r="AH20" s="356">
        <f t="shared" si="24"/>
        <v>0</v>
      </c>
      <c r="AI20" s="356">
        <f t="shared" si="24"/>
        <v>0</v>
      </c>
      <c r="AJ20" s="356">
        <f t="shared" si="24"/>
        <v>0</v>
      </c>
      <c r="AK20" s="253">
        <f t="shared" si="24"/>
        <v>0.89</v>
      </c>
      <c r="AL20" s="686">
        <f t="shared" si="24"/>
        <v>7093366</v>
      </c>
      <c r="AM20" s="355">
        <f t="shared" si="24"/>
        <v>5250229</v>
      </c>
      <c r="AN20" s="355">
        <f t="shared" si="24"/>
        <v>12000</v>
      </c>
      <c r="AO20" s="355">
        <f t="shared" si="24"/>
        <v>1778634</v>
      </c>
      <c r="AP20" s="355">
        <f t="shared" si="24"/>
        <v>52503</v>
      </c>
      <c r="AQ20" s="355">
        <f t="shared" si="24"/>
        <v>0</v>
      </c>
      <c r="AR20" s="253">
        <f t="shared" si="24"/>
        <v>8.900500000000001</v>
      </c>
    </row>
    <row r="21" spans="1:44" ht="12.95" customHeight="1" x14ac:dyDescent="0.25">
      <c r="A21" s="205">
        <v>4</v>
      </c>
      <c r="B21" s="246">
        <v>5447</v>
      </c>
      <c r="C21" s="255">
        <v>600099512</v>
      </c>
      <c r="D21" s="206">
        <v>854816</v>
      </c>
      <c r="E21" s="248" t="s">
        <v>341</v>
      </c>
      <c r="F21" s="206">
        <v>3233</v>
      </c>
      <c r="G21" s="248" t="s">
        <v>283</v>
      </c>
      <c r="H21" s="209" t="s">
        <v>263</v>
      </c>
      <c r="I21" s="627">
        <f>SUM(J21:M21)</f>
        <v>2326316</v>
      </c>
      <c r="J21" s="559">
        <v>1725753</v>
      </c>
      <c r="K21" s="431">
        <f>ROUND(J21*33.8%,0)</f>
        <v>583305</v>
      </c>
      <c r="L21" s="431">
        <f>ROUND(J21*1%,0)</f>
        <v>17258</v>
      </c>
      <c r="M21" s="325">
        <v>0</v>
      </c>
      <c r="N21" s="751">
        <v>2.92</v>
      </c>
      <c r="O21" s="327">
        <f>V21*-1</f>
        <v>-15000</v>
      </c>
      <c r="P21" s="492">
        <v>0</v>
      </c>
      <c r="Q21" s="325">
        <v>0</v>
      </c>
      <c r="R21" s="325">
        <v>0</v>
      </c>
      <c r="S21" s="325">
        <v>0</v>
      </c>
      <c r="T21" s="325">
        <v>0</v>
      </c>
      <c r="U21" s="492">
        <f>O21+P21+Q21+R21+S21+T21</f>
        <v>-15000</v>
      </c>
      <c r="V21" s="325">
        <v>15000</v>
      </c>
      <c r="W21" s="325">
        <v>0</v>
      </c>
      <c r="X21" s="325">
        <v>0</v>
      </c>
      <c r="Y21" s="492">
        <f>V21+W21+X21</f>
        <v>15000</v>
      </c>
      <c r="Z21" s="492">
        <f>U21+Y21</f>
        <v>0</v>
      </c>
      <c r="AA21" s="494">
        <f>ROUND((U21+Y21)*33.8%,0)</f>
        <v>0</v>
      </c>
      <c r="AB21" s="494">
        <f>ROUND(U21*1%,0)</f>
        <v>-150</v>
      </c>
      <c r="AC21" s="492">
        <v>0</v>
      </c>
      <c r="AD21" s="789">
        <f>Z21+AA21+AB21+AC21</f>
        <v>-150</v>
      </c>
      <c r="AE21" s="835">
        <v>-0.03</v>
      </c>
      <c r="AF21" s="491">
        <v>0</v>
      </c>
      <c r="AG21" s="326">
        <v>0</v>
      </c>
      <c r="AH21" s="326">
        <v>0</v>
      </c>
      <c r="AI21" s="326">
        <v>0</v>
      </c>
      <c r="AJ21" s="326">
        <v>0</v>
      </c>
      <c r="AK21" s="626">
        <f>SUM(AE21:AJ21)</f>
        <v>-0.03</v>
      </c>
      <c r="AL21" s="696">
        <f>I21+AD21</f>
        <v>2326166</v>
      </c>
      <c r="AM21" s="492">
        <f>J21+U21</f>
        <v>1710753</v>
      </c>
      <c r="AN21" s="492">
        <f>Y21</f>
        <v>15000</v>
      </c>
      <c r="AO21" s="492">
        <f>K21+AA21</f>
        <v>583305</v>
      </c>
      <c r="AP21" s="492">
        <f>L21+AB21</f>
        <v>17108</v>
      </c>
      <c r="AQ21" s="492">
        <f>M21+AC21</f>
        <v>0</v>
      </c>
      <c r="AR21" s="626">
        <f>N21+AK21</f>
        <v>2.89</v>
      </c>
    </row>
    <row r="22" spans="1:44" ht="12.95" customHeight="1" x14ac:dyDescent="0.25">
      <c r="A22" s="249">
        <v>4</v>
      </c>
      <c r="B22" s="250">
        <v>5447</v>
      </c>
      <c r="C22" s="251">
        <v>600099512</v>
      </c>
      <c r="D22" s="250">
        <v>854816</v>
      </c>
      <c r="E22" s="252" t="s">
        <v>342</v>
      </c>
      <c r="F22" s="216"/>
      <c r="G22" s="254"/>
      <c r="H22" s="217"/>
      <c r="I22" s="686">
        <f t="shared" ref="I22:AR22" si="26">SUM(I21)</f>
        <v>2326316</v>
      </c>
      <c r="J22" s="355">
        <f t="shared" si="26"/>
        <v>1725753</v>
      </c>
      <c r="K22" s="355">
        <f t="shared" si="26"/>
        <v>583305</v>
      </c>
      <c r="L22" s="355">
        <f t="shared" si="26"/>
        <v>17258</v>
      </c>
      <c r="M22" s="355">
        <f t="shared" ref="M22" si="27">SUM(M21)</f>
        <v>0</v>
      </c>
      <c r="N22" s="816">
        <f t="shared" si="26"/>
        <v>2.92</v>
      </c>
      <c r="O22" s="686">
        <f t="shared" si="26"/>
        <v>-15000</v>
      </c>
      <c r="P22" s="355">
        <f t="shared" si="26"/>
        <v>0</v>
      </c>
      <c r="Q22" s="355">
        <f t="shared" si="26"/>
        <v>0</v>
      </c>
      <c r="R22" s="355">
        <f t="shared" si="26"/>
        <v>0</v>
      </c>
      <c r="S22" s="355">
        <f t="shared" si="26"/>
        <v>0</v>
      </c>
      <c r="T22" s="355">
        <f t="shared" si="26"/>
        <v>0</v>
      </c>
      <c r="U22" s="355">
        <f t="shared" si="26"/>
        <v>-15000</v>
      </c>
      <c r="V22" s="355">
        <f t="shared" si="26"/>
        <v>15000</v>
      </c>
      <c r="W22" s="355">
        <f t="shared" si="26"/>
        <v>0</v>
      </c>
      <c r="X22" s="355">
        <f t="shared" si="26"/>
        <v>0</v>
      </c>
      <c r="Y22" s="355">
        <f t="shared" si="26"/>
        <v>15000</v>
      </c>
      <c r="Z22" s="355">
        <f t="shared" si="26"/>
        <v>0</v>
      </c>
      <c r="AA22" s="355">
        <f t="shared" si="26"/>
        <v>0</v>
      </c>
      <c r="AB22" s="355">
        <f t="shared" si="26"/>
        <v>-150</v>
      </c>
      <c r="AC22" s="355">
        <f t="shared" si="26"/>
        <v>0</v>
      </c>
      <c r="AD22" s="683">
        <f t="shared" si="26"/>
        <v>-150</v>
      </c>
      <c r="AE22" s="829">
        <f t="shared" si="26"/>
        <v>-0.03</v>
      </c>
      <c r="AF22" s="356">
        <f t="shared" si="26"/>
        <v>0</v>
      </c>
      <c r="AG22" s="356">
        <f t="shared" si="26"/>
        <v>0</v>
      </c>
      <c r="AH22" s="356">
        <f t="shared" si="26"/>
        <v>0</v>
      </c>
      <c r="AI22" s="356">
        <f t="shared" si="26"/>
        <v>0</v>
      </c>
      <c r="AJ22" s="356">
        <f t="shared" si="26"/>
        <v>0</v>
      </c>
      <c r="AK22" s="253">
        <f t="shared" si="26"/>
        <v>-0.03</v>
      </c>
      <c r="AL22" s="686">
        <f t="shared" si="26"/>
        <v>2326166</v>
      </c>
      <c r="AM22" s="355">
        <f t="shared" si="26"/>
        <v>1710753</v>
      </c>
      <c r="AN22" s="355">
        <f t="shared" si="26"/>
        <v>15000</v>
      </c>
      <c r="AO22" s="355">
        <f t="shared" si="26"/>
        <v>583305</v>
      </c>
      <c r="AP22" s="355">
        <f t="shared" si="26"/>
        <v>17108</v>
      </c>
      <c r="AQ22" s="355">
        <f t="shared" si="26"/>
        <v>0</v>
      </c>
      <c r="AR22" s="253">
        <f t="shared" si="26"/>
        <v>2.89</v>
      </c>
    </row>
    <row r="23" spans="1:44" ht="12.95" customHeight="1" x14ac:dyDescent="0.25">
      <c r="A23" s="205">
        <v>5</v>
      </c>
      <c r="B23" s="246">
        <v>5444</v>
      </c>
      <c r="C23" s="247">
        <v>600099296</v>
      </c>
      <c r="D23" s="206">
        <v>854824</v>
      </c>
      <c r="E23" s="248" t="s">
        <v>343</v>
      </c>
      <c r="F23" s="206">
        <v>3113</v>
      </c>
      <c r="G23" s="248" t="s">
        <v>294</v>
      </c>
      <c r="H23" s="209" t="s">
        <v>262</v>
      </c>
      <c r="I23" s="627">
        <f t="shared" ref="I23:I27" si="28">SUM(J23:M23)</f>
        <v>15909191</v>
      </c>
      <c r="J23" s="559">
        <v>11802071</v>
      </c>
      <c r="K23" s="431">
        <f t="shared" ref="K23:K27" si="29">ROUND(J23*33.8%,0)</f>
        <v>3989100</v>
      </c>
      <c r="L23" s="431">
        <f>ROUND(J23*1%,0)-1</f>
        <v>118020</v>
      </c>
      <c r="M23" s="325">
        <v>0</v>
      </c>
      <c r="N23" s="751">
        <v>15.6686</v>
      </c>
      <c r="O23" s="327">
        <f t="shared" ref="O23:O27" si="30">V23*-1</f>
        <v>-54000</v>
      </c>
      <c r="P23" s="492">
        <v>0</v>
      </c>
      <c r="Q23" s="325">
        <v>0</v>
      </c>
      <c r="R23" s="325">
        <v>0</v>
      </c>
      <c r="S23" s="325">
        <v>0</v>
      </c>
      <c r="T23" s="325">
        <v>0</v>
      </c>
      <c r="U23" s="492">
        <f>O23+P23+Q23+R23+S23+T23</f>
        <v>-54000</v>
      </c>
      <c r="V23" s="325">
        <v>54000</v>
      </c>
      <c r="W23" s="325">
        <v>0</v>
      </c>
      <c r="X23" s="325">
        <v>0</v>
      </c>
      <c r="Y23" s="492">
        <f t="shared" ref="Y23:Y27" si="31">V23+W23+X23</f>
        <v>54000</v>
      </c>
      <c r="Z23" s="492">
        <f t="shared" ref="Z23:Z27" si="32">U23+Y23</f>
        <v>0</v>
      </c>
      <c r="AA23" s="494">
        <f t="shared" ref="AA23:AA27" si="33">ROUND((U23+Y23)*33.8%,0)</f>
        <v>0</v>
      </c>
      <c r="AB23" s="494">
        <f t="shared" ref="AB23:AB27" si="34">ROUND(U23*1%,0)</f>
        <v>-540</v>
      </c>
      <c r="AC23" s="492">
        <v>0</v>
      </c>
      <c r="AD23" s="789">
        <f t="shared" ref="AD23:AD27" si="35">Z23+AA23+AB23+AC23</f>
        <v>-540</v>
      </c>
      <c r="AE23" s="715">
        <v>-0.03</v>
      </c>
      <c r="AF23" s="491">
        <v>0</v>
      </c>
      <c r="AG23" s="326">
        <v>0</v>
      </c>
      <c r="AH23" s="326">
        <v>0</v>
      </c>
      <c r="AI23" s="326">
        <v>0</v>
      </c>
      <c r="AJ23" s="326">
        <v>0</v>
      </c>
      <c r="AK23" s="626">
        <f>SUM(AE23:AJ23)</f>
        <v>-0.03</v>
      </c>
      <c r="AL23" s="696">
        <f>I23+AD23</f>
        <v>15908651</v>
      </c>
      <c r="AM23" s="492">
        <f>J23+U23</f>
        <v>11748071</v>
      </c>
      <c r="AN23" s="492">
        <f>Y23</f>
        <v>54000</v>
      </c>
      <c r="AO23" s="492">
        <f t="shared" ref="AO23:AQ27" si="36">K23+AA23</f>
        <v>3989100</v>
      </c>
      <c r="AP23" s="492">
        <f t="shared" si="36"/>
        <v>117480</v>
      </c>
      <c r="AQ23" s="492">
        <f t="shared" si="36"/>
        <v>0</v>
      </c>
      <c r="AR23" s="626">
        <f>N23+AK23</f>
        <v>15.6386</v>
      </c>
    </row>
    <row r="24" spans="1:44" ht="12.95" customHeight="1" x14ac:dyDescent="0.25">
      <c r="A24" s="737">
        <v>5</v>
      </c>
      <c r="B24" s="746">
        <v>5444</v>
      </c>
      <c r="C24" s="747">
        <v>600099296</v>
      </c>
      <c r="D24" s="738">
        <v>854824</v>
      </c>
      <c r="E24" s="748" t="s">
        <v>343</v>
      </c>
      <c r="F24" s="738">
        <v>3113</v>
      </c>
      <c r="G24" s="748" t="s">
        <v>825</v>
      </c>
      <c r="H24" s="209" t="s">
        <v>262</v>
      </c>
      <c r="I24" s="586">
        <f t="shared" si="28"/>
        <v>333882</v>
      </c>
      <c r="J24" s="559">
        <v>247687</v>
      </c>
      <c r="K24" s="431">
        <f t="shared" si="29"/>
        <v>83718</v>
      </c>
      <c r="L24" s="431">
        <f t="shared" ref="L24:L27" si="37">ROUND(J24*1%,0)</f>
        <v>2477</v>
      </c>
      <c r="M24" s="325">
        <v>0</v>
      </c>
      <c r="N24" s="751">
        <v>0.4</v>
      </c>
      <c r="O24" s="327">
        <f>V24*-1</f>
        <v>0</v>
      </c>
      <c r="P24" s="492">
        <v>0</v>
      </c>
      <c r="Q24" s="325">
        <v>0</v>
      </c>
      <c r="R24" s="325">
        <v>0</v>
      </c>
      <c r="S24" s="325">
        <v>0</v>
      </c>
      <c r="T24" s="325">
        <v>0</v>
      </c>
      <c r="U24" s="492">
        <f>O24+P24+Q24+R24+S24+T24</f>
        <v>0</v>
      </c>
      <c r="V24" s="325">
        <v>0</v>
      </c>
      <c r="W24" s="325">
        <v>0</v>
      </c>
      <c r="X24" s="325">
        <v>0</v>
      </c>
      <c r="Y24" s="492">
        <f>V24+W24+X24</f>
        <v>0</v>
      </c>
      <c r="Z24" s="492">
        <f>U24+Y24</f>
        <v>0</v>
      </c>
      <c r="AA24" s="494">
        <f>ROUND((U24+Y24)*33.8%,0)</f>
        <v>0</v>
      </c>
      <c r="AB24" s="494">
        <f>ROUND(U24*1%,0)</f>
        <v>0</v>
      </c>
      <c r="AC24" s="492">
        <v>0</v>
      </c>
      <c r="AD24" s="789">
        <f>Z24+AA24+AB24+AC24</f>
        <v>0</v>
      </c>
      <c r="AE24" s="715">
        <v>0</v>
      </c>
      <c r="AF24" s="491">
        <v>0</v>
      </c>
      <c r="AG24" s="326">
        <v>0</v>
      </c>
      <c r="AH24" s="326">
        <v>0</v>
      </c>
      <c r="AI24" s="326">
        <v>0</v>
      </c>
      <c r="AJ24" s="326">
        <v>0</v>
      </c>
      <c r="AK24" s="626">
        <f>SUM(AE24:AJ24)</f>
        <v>0</v>
      </c>
      <c r="AL24" s="696">
        <f>I24+AD24</f>
        <v>333882</v>
      </c>
      <c r="AM24" s="492">
        <f>J24+U24</f>
        <v>247687</v>
      </c>
      <c r="AN24" s="492">
        <f>Y24</f>
        <v>0</v>
      </c>
      <c r="AO24" s="492">
        <f t="shared" si="36"/>
        <v>83718</v>
      </c>
      <c r="AP24" s="492">
        <f t="shared" si="36"/>
        <v>2477</v>
      </c>
      <c r="AQ24" s="492">
        <f t="shared" si="36"/>
        <v>0</v>
      </c>
      <c r="AR24" s="626">
        <f>N24+AK24</f>
        <v>0.4</v>
      </c>
    </row>
    <row r="25" spans="1:44" ht="12.95" customHeight="1" x14ac:dyDescent="0.25">
      <c r="A25" s="205">
        <v>5</v>
      </c>
      <c r="B25" s="246">
        <v>5444</v>
      </c>
      <c r="C25" s="247">
        <v>600099296</v>
      </c>
      <c r="D25" s="206">
        <v>854824</v>
      </c>
      <c r="E25" s="248" t="s">
        <v>343</v>
      </c>
      <c r="F25" s="206">
        <v>3113</v>
      </c>
      <c r="G25" s="248" t="s">
        <v>284</v>
      </c>
      <c r="H25" s="209" t="s">
        <v>263</v>
      </c>
      <c r="I25" s="586">
        <f t="shared" si="28"/>
        <v>0</v>
      </c>
      <c r="J25" s="490"/>
      <c r="K25" s="431">
        <f t="shared" si="29"/>
        <v>0</v>
      </c>
      <c r="L25" s="431">
        <f t="shared" si="37"/>
        <v>0</v>
      </c>
      <c r="M25" s="325">
        <v>0</v>
      </c>
      <c r="N25" s="752"/>
      <c r="O25" s="327">
        <f t="shared" si="30"/>
        <v>0</v>
      </c>
      <c r="P25" s="492">
        <f>1098640-150112</f>
        <v>948528</v>
      </c>
      <c r="Q25" s="325">
        <v>0</v>
      </c>
      <c r="R25" s="325">
        <v>0</v>
      </c>
      <c r="S25" s="325">
        <v>0</v>
      </c>
      <c r="T25" s="325">
        <v>0</v>
      </c>
      <c r="U25" s="492">
        <f>O25+P25+Q25+R25+S25+T25</f>
        <v>948528</v>
      </c>
      <c r="V25" s="325">
        <v>0</v>
      </c>
      <c r="W25" s="325">
        <v>104794</v>
      </c>
      <c r="X25" s="325">
        <v>0</v>
      </c>
      <c r="Y25" s="492">
        <f t="shared" si="31"/>
        <v>104794</v>
      </c>
      <c r="Z25" s="492">
        <f t="shared" si="32"/>
        <v>1053322</v>
      </c>
      <c r="AA25" s="494">
        <f t="shared" si="33"/>
        <v>356023</v>
      </c>
      <c r="AB25" s="494">
        <f t="shared" si="34"/>
        <v>9485</v>
      </c>
      <c r="AC25" s="492">
        <v>0</v>
      </c>
      <c r="AD25" s="789">
        <f t="shared" si="35"/>
        <v>1418830</v>
      </c>
      <c r="AE25" s="715">
        <v>0</v>
      </c>
      <c r="AF25" s="491">
        <f>2.68-0.28</f>
        <v>2.4000000000000004</v>
      </c>
      <c r="AG25" s="326">
        <v>0</v>
      </c>
      <c r="AH25" s="326">
        <v>0</v>
      </c>
      <c r="AI25" s="326">
        <v>0</v>
      </c>
      <c r="AJ25" s="326">
        <v>0</v>
      </c>
      <c r="AK25" s="626">
        <f>SUM(AE25:AJ25)</f>
        <v>2.4000000000000004</v>
      </c>
      <c r="AL25" s="696">
        <f>I25+AD25</f>
        <v>1418830</v>
      </c>
      <c r="AM25" s="492">
        <f>J25+U25</f>
        <v>948528</v>
      </c>
      <c r="AN25" s="492">
        <f>Y25</f>
        <v>104794</v>
      </c>
      <c r="AO25" s="492">
        <f t="shared" si="36"/>
        <v>356023</v>
      </c>
      <c r="AP25" s="492">
        <f t="shared" si="36"/>
        <v>9485</v>
      </c>
      <c r="AQ25" s="492">
        <f t="shared" si="36"/>
        <v>0</v>
      </c>
      <c r="AR25" s="626">
        <f>N25+AK25</f>
        <v>2.4000000000000004</v>
      </c>
    </row>
    <row r="26" spans="1:44" ht="12.95" customHeight="1" x14ac:dyDescent="0.25">
      <c r="A26" s="205">
        <v>5</v>
      </c>
      <c r="B26" s="246">
        <v>5444</v>
      </c>
      <c r="C26" s="247">
        <v>600099296</v>
      </c>
      <c r="D26" s="206">
        <v>854824</v>
      </c>
      <c r="E26" s="248" t="s">
        <v>343</v>
      </c>
      <c r="F26" s="206">
        <v>3122</v>
      </c>
      <c r="G26" s="248" t="s">
        <v>285</v>
      </c>
      <c r="H26" s="209" t="s">
        <v>262</v>
      </c>
      <c r="I26" s="586">
        <f t="shared" si="28"/>
        <v>9707838</v>
      </c>
      <c r="J26" s="490">
        <v>7201660</v>
      </c>
      <c r="K26" s="431">
        <f t="shared" si="29"/>
        <v>2434161</v>
      </c>
      <c r="L26" s="431">
        <f t="shared" si="37"/>
        <v>72017</v>
      </c>
      <c r="M26" s="325">
        <v>0</v>
      </c>
      <c r="N26" s="752">
        <v>9.3332999999999995</v>
      </c>
      <c r="O26" s="327">
        <f t="shared" si="30"/>
        <v>-54000</v>
      </c>
      <c r="P26" s="492">
        <v>0</v>
      </c>
      <c r="Q26" s="325">
        <v>0</v>
      </c>
      <c r="R26" s="325">
        <v>0</v>
      </c>
      <c r="S26" s="325">
        <v>0</v>
      </c>
      <c r="T26" s="325">
        <v>0</v>
      </c>
      <c r="U26" s="492">
        <f>O26+P26+Q26+R26+S26+T26</f>
        <v>-54000</v>
      </c>
      <c r="V26" s="325">
        <v>54000</v>
      </c>
      <c r="W26" s="325">
        <v>302739</v>
      </c>
      <c r="X26" s="325">
        <v>0</v>
      </c>
      <c r="Y26" s="492">
        <f t="shared" si="31"/>
        <v>356739</v>
      </c>
      <c r="Z26" s="492">
        <f t="shared" si="32"/>
        <v>302739</v>
      </c>
      <c r="AA26" s="494">
        <f t="shared" si="33"/>
        <v>102326</v>
      </c>
      <c r="AB26" s="494">
        <f t="shared" si="34"/>
        <v>-540</v>
      </c>
      <c r="AC26" s="492">
        <v>0</v>
      </c>
      <c r="AD26" s="789">
        <f t="shared" si="35"/>
        <v>404525</v>
      </c>
      <c r="AE26" s="715">
        <v>-0.03</v>
      </c>
      <c r="AF26" s="491">
        <v>0</v>
      </c>
      <c r="AG26" s="326">
        <v>0</v>
      </c>
      <c r="AH26" s="326">
        <v>0</v>
      </c>
      <c r="AI26" s="326">
        <v>0</v>
      </c>
      <c r="AJ26" s="326">
        <v>0</v>
      </c>
      <c r="AK26" s="626">
        <f>SUM(AE26:AJ26)</f>
        <v>-0.03</v>
      </c>
      <c r="AL26" s="696">
        <f>I26+AD26</f>
        <v>10112363</v>
      </c>
      <c r="AM26" s="492">
        <f>J26+U26</f>
        <v>7147660</v>
      </c>
      <c r="AN26" s="492">
        <f>Y26</f>
        <v>356739</v>
      </c>
      <c r="AO26" s="492">
        <f t="shared" si="36"/>
        <v>2536487</v>
      </c>
      <c r="AP26" s="492">
        <f t="shared" si="36"/>
        <v>71477</v>
      </c>
      <c r="AQ26" s="492">
        <f t="shared" si="36"/>
        <v>0</v>
      </c>
      <c r="AR26" s="626">
        <f>N26+AK26</f>
        <v>9.3033000000000001</v>
      </c>
    </row>
    <row r="27" spans="1:44" ht="12.95" customHeight="1" x14ac:dyDescent="0.25">
      <c r="A27" s="205">
        <v>5</v>
      </c>
      <c r="B27" s="246">
        <v>5444</v>
      </c>
      <c r="C27" s="247">
        <v>600099296</v>
      </c>
      <c r="D27" s="206">
        <v>854824</v>
      </c>
      <c r="E27" s="248" t="s">
        <v>343</v>
      </c>
      <c r="F27" s="206">
        <v>3143</v>
      </c>
      <c r="G27" s="248" t="s">
        <v>794</v>
      </c>
      <c r="H27" s="209" t="s">
        <v>262</v>
      </c>
      <c r="I27" s="586">
        <f t="shared" si="28"/>
        <v>1879256</v>
      </c>
      <c r="J27" s="490">
        <v>1394107</v>
      </c>
      <c r="K27" s="431">
        <f t="shared" si="29"/>
        <v>471208</v>
      </c>
      <c r="L27" s="431">
        <f t="shared" si="37"/>
        <v>13941</v>
      </c>
      <c r="M27" s="325">
        <v>0</v>
      </c>
      <c r="N27" s="752">
        <v>2.7241</v>
      </c>
      <c r="O27" s="327">
        <f t="shared" si="30"/>
        <v>-42000</v>
      </c>
      <c r="P27" s="492">
        <v>0</v>
      </c>
      <c r="Q27" s="325">
        <v>0</v>
      </c>
      <c r="R27" s="325">
        <v>0</v>
      </c>
      <c r="S27" s="325">
        <v>0</v>
      </c>
      <c r="T27" s="325">
        <v>0</v>
      </c>
      <c r="U27" s="492">
        <f>O27+P27+Q27+R27+S27+T27</f>
        <v>-42000</v>
      </c>
      <c r="V27" s="325">
        <v>42000</v>
      </c>
      <c r="W27" s="325">
        <v>0</v>
      </c>
      <c r="X27" s="325">
        <v>0</v>
      </c>
      <c r="Y27" s="492">
        <f t="shared" si="31"/>
        <v>42000</v>
      </c>
      <c r="Z27" s="492">
        <f t="shared" si="32"/>
        <v>0</v>
      </c>
      <c r="AA27" s="494">
        <f t="shared" si="33"/>
        <v>0</v>
      </c>
      <c r="AB27" s="494">
        <f t="shared" si="34"/>
        <v>-420</v>
      </c>
      <c r="AC27" s="492">
        <v>0</v>
      </c>
      <c r="AD27" s="789">
        <f t="shared" si="35"/>
        <v>-420</v>
      </c>
      <c r="AE27" s="715">
        <v>-0.02</v>
      </c>
      <c r="AF27" s="491">
        <v>0</v>
      </c>
      <c r="AG27" s="326">
        <v>0</v>
      </c>
      <c r="AH27" s="326">
        <v>0</v>
      </c>
      <c r="AI27" s="326">
        <v>0</v>
      </c>
      <c r="AJ27" s="326">
        <v>0</v>
      </c>
      <c r="AK27" s="626">
        <f>SUM(AE27:AJ27)</f>
        <v>-0.02</v>
      </c>
      <c r="AL27" s="696">
        <f>I27+AD27</f>
        <v>1878836</v>
      </c>
      <c r="AM27" s="492">
        <f>J27+U27</f>
        <v>1352107</v>
      </c>
      <c r="AN27" s="492">
        <f>Y27</f>
        <v>42000</v>
      </c>
      <c r="AO27" s="492">
        <f t="shared" si="36"/>
        <v>471208</v>
      </c>
      <c r="AP27" s="492">
        <f t="shared" si="36"/>
        <v>13521</v>
      </c>
      <c r="AQ27" s="492">
        <f t="shared" si="36"/>
        <v>0</v>
      </c>
      <c r="AR27" s="626">
        <f>N27+AK27</f>
        <v>2.7040999999999999</v>
      </c>
    </row>
    <row r="28" spans="1:44" ht="12.95" customHeight="1" x14ac:dyDescent="0.25">
      <c r="A28" s="249">
        <v>5</v>
      </c>
      <c r="B28" s="250">
        <v>5444</v>
      </c>
      <c r="C28" s="251">
        <v>600099296</v>
      </c>
      <c r="D28" s="250">
        <v>854824</v>
      </c>
      <c r="E28" s="252" t="s">
        <v>344</v>
      </c>
      <c r="F28" s="216"/>
      <c r="G28" s="254"/>
      <c r="H28" s="217"/>
      <c r="I28" s="686">
        <f t="shared" ref="I28:AR28" si="38">SUM(I23:I27)</f>
        <v>27830167</v>
      </c>
      <c r="J28" s="355">
        <f t="shared" si="38"/>
        <v>20645525</v>
      </c>
      <c r="K28" s="355">
        <f t="shared" si="38"/>
        <v>6978187</v>
      </c>
      <c r="L28" s="355">
        <f t="shared" si="38"/>
        <v>206455</v>
      </c>
      <c r="M28" s="355">
        <f t="shared" ref="M28" si="39">SUM(M23:M27)</f>
        <v>0</v>
      </c>
      <c r="N28" s="816">
        <f t="shared" si="38"/>
        <v>28.125999999999998</v>
      </c>
      <c r="O28" s="686">
        <f t="shared" si="38"/>
        <v>-150000</v>
      </c>
      <c r="P28" s="355">
        <f t="shared" si="38"/>
        <v>948528</v>
      </c>
      <c r="Q28" s="355">
        <f t="shared" si="38"/>
        <v>0</v>
      </c>
      <c r="R28" s="355">
        <f t="shared" si="38"/>
        <v>0</v>
      </c>
      <c r="S28" s="355">
        <f t="shared" si="38"/>
        <v>0</v>
      </c>
      <c r="T28" s="355">
        <f t="shared" si="38"/>
        <v>0</v>
      </c>
      <c r="U28" s="355">
        <f t="shared" si="38"/>
        <v>798528</v>
      </c>
      <c r="V28" s="355">
        <f t="shared" si="38"/>
        <v>150000</v>
      </c>
      <c r="W28" s="355">
        <f t="shared" si="38"/>
        <v>407533</v>
      </c>
      <c r="X28" s="355">
        <f t="shared" si="38"/>
        <v>0</v>
      </c>
      <c r="Y28" s="355">
        <f t="shared" si="38"/>
        <v>557533</v>
      </c>
      <c r="Z28" s="355">
        <f t="shared" si="38"/>
        <v>1356061</v>
      </c>
      <c r="AA28" s="355">
        <f t="shared" si="38"/>
        <v>458349</v>
      </c>
      <c r="AB28" s="355">
        <f t="shared" si="38"/>
        <v>7985</v>
      </c>
      <c r="AC28" s="355">
        <f t="shared" si="38"/>
        <v>0</v>
      </c>
      <c r="AD28" s="683">
        <f t="shared" si="38"/>
        <v>1822395</v>
      </c>
      <c r="AE28" s="829">
        <v>-0.08</v>
      </c>
      <c r="AF28" s="356">
        <f t="shared" si="38"/>
        <v>2.4000000000000004</v>
      </c>
      <c r="AG28" s="356">
        <f t="shared" si="38"/>
        <v>0</v>
      </c>
      <c r="AH28" s="356">
        <f t="shared" si="38"/>
        <v>0</v>
      </c>
      <c r="AI28" s="356">
        <f t="shared" si="38"/>
        <v>0</v>
      </c>
      <c r="AJ28" s="356">
        <f t="shared" si="38"/>
        <v>0</v>
      </c>
      <c r="AK28" s="253">
        <f t="shared" si="38"/>
        <v>2.3200000000000007</v>
      </c>
      <c r="AL28" s="686">
        <f t="shared" si="38"/>
        <v>29652562</v>
      </c>
      <c r="AM28" s="355">
        <f t="shared" si="38"/>
        <v>21444053</v>
      </c>
      <c r="AN28" s="355">
        <f t="shared" si="38"/>
        <v>557533</v>
      </c>
      <c r="AO28" s="355">
        <f t="shared" si="38"/>
        <v>7436536</v>
      </c>
      <c r="AP28" s="355">
        <f t="shared" si="38"/>
        <v>214440</v>
      </c>
      <c r="AQ28" s="355">
        <f t="shared" si="38"/>
        <v>0</v>
      </c>
      <c r="AR28" s="253">
        <f t="shared" si="38"/>
        <v>30.446000000000002</v>
      </c>
    </row>
    <row r="29" spans="1:44" ht="12.95" customHeight="1" x14ac:dyDescent="0.25">
      <c r="A29" s="205">
        <v>6</v>
      </c>
      <c r="B29" s="246">
        <v>5449</v>
      </c>
      <c r="C29" s="247">
        <v>600099458</v>
      </c>
      <c r="D29" s="206">
        <v>70188408</v>
      </c>
      <c r="E29" s="248" t="s">
        <v>345</v>
      </c>
      <c r="F29" s="206">
        <v>3114</v>
      </c>
      <c r="G29" s="256" t="s">
        <v>511</v>
      </c>
      <c r="H29" s="209" t="s">
        <v>262</v>
      </c>
      <c r="I29" s="627">
        <f t="shared" ref="I29:I32" si="40">SUM(J29:M29)</f>
        <v>13504546</v>
      </c>
      <c r="J29" s="559">
        <v>10018209</v>
      </c>
      <c r="K29" s="431">
        <f>ROUND(J29*33.8%,0)-1</f>
        <v>3386154</v>
      </c>
      <c r="L29" s="431">
        <f>ROUND(J29*1%,0)+1</f>
        <v>100183</v>
      </c>
      <c r="M29" s="325">
        <v>0</v>
      </c>
      <c r="N29" s="751">
        <v>12.0908</v>
      </c>
      <c r="O29" s="327">
        <f>V29*-1</f>
        <v>-48000</v>
      </c>
      <c r="P29" s="492">
        <v>0</v>
      </c>
      <c r="Q29" s="325">
        <v>0</v>
      </c>
      <c r="R29" s="325">
        <v>0</v>
      </c>
      <c r="S29" s="325">
        <v>0</v>
      </c>
      <c r="T29" s="325">
        <v>0</v>
      </c>
      <c r="U29" s="492">
        <f>O29+P29+Q29+R29+S29+T29</f>
        <v>-48000</v>
      </c>
      <c r="V29" s="325">
        <v>48000</v>
      </c>
      <c r="W29" s="325">
        <v>0</v>
      </c>
      <c r="X29" s="325">
        <v>0</v>
      </c>
      <c r="Y29" s="492">
        <f t="shared" ref="Y29:Y32" si="41">V29+W29+X29</f>
        <v>48000</v>
      </c>
      <c r="Z29" s="492">
        <f t="shared" ref="Z29:Z32" si="42">U29+Y29</f>
        <v>0</v>
      </c>
      <c r="AA29" s="494">
        <f t="shared" ref="AA29:AA32" si="43">ROUND((U29+Y29)*33.8%,0)</f>
        <v>0</v>
      </c>
      <c r="AB29" s="494">
        <f t="shared" ref="AB29:AB32" si="44">ROUND(U29*1%,0)</f>
        <v>-480</v>
      </c>
      <c r="AC29" s="492">
        <v>0</v>
      </c>
      <c r="AD29" s="789">
        <f t="shared" ref="AD29:AD32" si="45">Z29+AA29+AB29+AC29</f>
        <v>-480</v>
      </c>
      <c r="AE29" s="715">
        <v>-0.05</v>
      </c>
      <c r="AF29" s="491">
        <v>0</v>
      </c>
      <c r="AG29" s="326">
        <v>0</v>
      </c>
      <c r="AH29" s="326">
        <v>0</v>
      </c>
      <c r="AI29" s="326">
        <v>0</v>
      </c>
      <c r="AJ29" s="326">
        <v>0</v>
      </c>
      <c r="AK29" s="626">
        <f>SUM(AE29:AJ29)</f>
        <v>-0.05</v>
      </c>
      <c r="AL29" s="696">
        <f>I29+AD29</f>
        <v>13504066</v>
      </c>
      <c r="AM29" s="492">
        <f>J29+U29</f>
        <v>9970209</v>
      </c>
      <c r="AN29" s="492">
        <f>Y29</f>
        <v>48000</v>
      </c>
      <c r="AO29" s="492">
        <f t="shared" ref="AO29:AQ32" si="46">K29+AA29</f>
        <v>3386154</v>
      </c>
      <c r="AP29" s="492">
        <f t="shared" si="46"/>
        <v>99703</v>
      </c>
      <c r="AQ29" s="492">
        <f t="shared" si="46"/>
        <v>0</v>
      </c>
      <c r="AR29" s="626">
        <f>N29+AK29</f>
        <v>12.040799999999999</v>
      </c>
    </row>
    <row r="30" spans="1:44" ht="12.95" customHeight="1" x14ac:dyDescent="0.25">
      <c r="A30" s="205">
        <v>6</v>
      </c>
      <c r="B30" s="246">
        <v>5449</v>
      </c>
      <c r="C30" s="247">
        <v>600099458</v>
      </c>
      <c r="D30" s="206">
        <v>70188408</v>
      </c>
      <c r="E30" s="248" t="s">
        <v>345</v>
      </c>
      <c r="F30" s="206">
        <v>3114</v>
      </c>
      <c r="G30" s="256" t="s">
        <v>279</v>
      </c>
      <c r="H30" s="209" t="s">
        <v>262</v>
      </c>
      <c r="I30" s="586">
        <f t="shared" si="40"/>
        <v>2535368</v>
      </c>
      <c r="J30" s="490">
        <v>1880837</v>
      </c>
      <c r="K30" s="431">
        <f t="shared" ref="K30:K32" si="47">ROUND(J30*33.8%,0)</f>
        <v>635723</v>
      </c>
      <c r="L30" s="431">
        <f t="shared" ref="L30:L32" si="48">ROUND(J30*1%,0)</f>
        <v>18808</v>
      </c>
      <c r="M30" s="325">
        <v>0</v>
      </c>
      <c r="N30" s="752">
        <v>4.3331999999999997</v>
      </c>
      <c r="O30" s="327">
        <f>V30*-1</f>
        <v>-12000</v>
      </c>
      <c r="P30" s="492">
        <v>0</v>
      </c>
      <c r="Q30" s="325">
        <v>0</v>
      </c>
      <c r="R30" s="325">
        <v>0</v>
      </c>
      <c r="S30" s="325">
        <v>0</v>
      </c>
      <c r="T30" s="325">
        <v>0</v>
      </c>
      <c r="U30" s="492">
        <f>O30+P30+Q30+R30+S30+T30</f>
        <v>-12000</v>
      </c>
      <c r="V30" s="325">
        <v>12000</v>
      </c>
      <c r="W30" s="325">
        <v>0</v>
      </c>
      <c r="X30" s="325">
        <v>0</v>
      </c>
      <c r="Y30" s="492">
        <f t="shared" si="41"/>
        <v>12000</v>
      </c>
      <c r="Z30" s="492">
        <f t="shared" si="42"/>
        <v>0</v>
      </c>
      <c r="AA30" s="494">
        <f t="shared" si="43"/>
        <v>0</v>
      </c>
      <c r="AB30" s="494">
        <f t="shared" si="44"/>
        <v>-120</v>
      </c>
      <c r="AC30" s="492">
        <v>0</v>
      </c>
      <c r="AD30" s="789">
        <f t="shared" si="45"/>
        <v>-120</v>
      </c>
      <c r="AE30" s="715">
        <v>-0.01</v>
      </c>
      <c r="AF30" s="491">
        <v>0</v>
      </c>
      <c r="AG30" s="326">
        <v>0</v>
      </c>
      <c r="AH30" s="326">
        <v>0</v>
      </c>
      <c r="AI30" s="326">
        <v>0</v>
      </c>
      <c r="AJ30" s="326">
        <v>0</v>
      </c>
      <c r="AK30" s="626">
        <f>SUM(AE30:AJ30)</f>
        <v>-0.01</v>
      </c>
      <c r="AL30" s="696">
        <f>I30+AD30</f>
        <v>2535248</v>
      </c>
      <c r="AM30" s="492">
        <f>J30+U30</f>
        <v>1868837</v>
      </c>
      <c r="AN30" s="492">
        <f>Y30</f>
        <v>12000</v>
      </c>
      <c r="AO30" s="492">
        <f t="shared" si="46"/>
        <v>635723</v>
      </c>
      <c r="AP30" s="492">
        <f t="shared" si="46"/>
        <v>18688</v>
      </c>
      <c r="AQ30" s="492">
        <f t="shared" si="46"/>
        <v>0</v>
      </c>
      <c r="AR30" s="626">
        <f>N30+AK30</f>
        <v>4.3231999999999999</v>
      </c>
    </row>
    <row r="31" spans="1:44" ht="12.95" customHeight="1" x14ac:dyDescent="0.25">
      <c r="A31" s="205">
        <v>6</v>
      </c>
      <c r="B31" s="246">
        <v>5449</v>
      </c>
      <c r="C31" s="247">
        <v>600099458</v>
      </c>
      <c r="D31" s="206">
        <v>70188408</v>
      </c>
      <c r="E31" s="248" t="s">
        <v>345</v>
      </c>
      <c r="F31" s="206">
        <v>3143</v>
      </c>
      <c r="G31" s="248" t="s">
        <v>795</v>
      </c>
      <c r="H31" s="209" t="s">
        <v>262</v>
      </c>
      <c r="I31" s="586">
        <f t="shared" si="40"/>
        <v>549504</v>
      </c>
      <c r="J31" s="490">
        <v>407644</v>
      </c>
      <c r="K31" s="431">
        <f t="shared" si="47"/>
        <v>137784</v>
      </c>
      <c r="L31" s="431">
        <f t="shared" si="48"/>
        <v>4076</v>
      </c>
      <c r="M31" s="325">
        <v>0</v>
      </c>
      <c r="N31" s="752">
        <v>0.83</v>
      </c>
      <c r="O31" s="327">
        <f>V31*-1</f>
        <v>0</v>
      </c>
      <c r="P31" s="492">
        <v>0</v>
      </c>
      <c r="Q31" s="325">
        <v>0</v>
      </c>
      <c r="R31" s="325">
        <v>0</v>
      </c>
      <c r="S31" s="325">
        <v>0</v>
      </c>
      <c r="T31" s="325">
        <v>0</v>
      </c>
      <c r="U31" s="492">
        <f>O31+P31+Q31+R31+S31+T31</f>
        <v>0</v>
      </c>
      <c r="V31" s="325">
        <v>0</v>
      </c>
      <c r="W31" s="325">
        <v>0</v>
      </c>
      <c r="X31" s="325">
        <v>0</v>
      </c>
      <c r="Y31" s="492">
        <f t="shared" si="41"/>
        <v>0</v>
      </c>
      <c r="Z31" s="492">
        <f t="shared" si="42"/>
        <v>0</v>
      </c>
      <c r="AA31" s="494">
        <f t="shared" si="43"/>
        <v>0</v>
      </c>
      <c r="AB31" s="494">
        <f t="shared" si="44"/>
        <v>0</v>
      </c>
      <c r="AC31" s="492">
        <v>0</v>
      </c>
      <c r="AD31" s="789">
        <f t="shared" si="45"/>
        <v>0</v>
      </c>
      <c r="AE31" s="715">
        <v>0</v>
      </c>
      <c r="AF31" s="491">
        <v>0</v>
      </c>
      <c r="AG31" s="326">
        <v>0</v>
      </c>
      <c r="AH31" s="326">
        <v>0</v>
      </c>
      <c r="AI31" s="326">
        <v>0</v>
      </c>
      <c r="AJ31" s="326">
        <v>0</v>
      </c>
      <c r="AK31" s="626">
        <f>SUM(AE31:AJ31)</f>
        <v>0</v>
      </c>
      <c r="AL31" s="696">
        <f>I31+AD31</f>
        <v>549504</v>
      </c>
      <c r="AM31" s="492">
        <f>J31+U31</f>
        <v>407644</v>
      </c>
      <c r="AN31" s="492">
        <f>Y31</f>
        <v>0</v>
      </c>
      <c r="AO31" s="492">
        <f t="shared" si="46"/>
        <v>137784</v>
      </c>
      <c r="AP31" s="492">
        <f t="shared" si="46"/>
        <v>4076</v>
      </c>
      <c r="AQ31" s="492">
        <f t="shared" si="46"/>
        <v>0</v>
      </c>
      <c r="AR31" s="626">
        <f>N31+AK31</f>
        <v>0.83</v>
      </c>
    </row>
    <row r="32" spans="1:44" ht="12.95" customHeight="1" x14ac:dyDescent="0.25">
      <c r="A32" s="205">
        <v>6</v>
      </c>
      <c r="B32" s="246">
        <v>5449</v>
      </c>
      <c r="C32" s="247">
        <v>600099458</v>
      </c>
      <c r="D32" s="206">
        <v>70188408</v>
      </c>
      <c r="E32" s="248" t="s">
        <v>345</v>
      </c>
      <c r="F32" s="206">
        <v>3143</v>
      </c>
      <c r="G32" s="248" t="s">
        <v>741</v>
      </c>
      <c r="H32" s="209" t="s">
        <v>262</v>
      </c>
      <c r="I32" s="586">
        <f t="shared" si="40"/>
        <v>225936</v>
      </c>
      <c r="J32" s="490">
        <v>167608</v>
      </c>
      <c r="K32" s="431">
        <f t="shared" si="47"/>
        <v>56652</v>
      </c>
      <c r="L32" s="431">
        <f t="shared" si="48"/>
        <v>1676</v>
      </c>
      <c r="M32" s="325">
        <v>0</v>
      </c>
      <c r="N32" s="752">
        <v>0.42</v>
      </c>
      <c r="O32" s="327">
        <f>V32*-1</f>
        <v>0</v>
      </c>
      <c r="P32" s="492">
        <v>0</v>
      </c>
      <c r="Q32" s="325">
        <v>0</v>
      </c>
      <c r="R32" s="325">
        <v>0</v>
      </c>
      <c r="S32" s="325">
        <v>0</v>
      </c>
      <c r="T32" s="325">
        <v>0</v>
      </c>
      <c r="U32" s="492">
        <f>O32+P32+Q32+R32+S32+T32</f>
        <v>0</v>
      </c>
      <c r="V32" s="325">
        <v>0</v>
      </c>
      <c r="W32" s="325">
        <v>0</v>
      </c>
      <c r="X32" s="325">
        <v>0</v>
      </c>
      <c r="Y32" s="492">
        <f t="shared" si="41"/>
        <v>0</v>
      </c>
      <c r="Z32" s="492">
        <f t="shared" si="42"/>
        <v>0</v>
      </c>
      <c r="AA32" s="494">
        <f t="shared" si="43"/>
        <v>0</v>
      </c>
      <c r="AB32" s="494">
        <f t="shared" si="44"/>
        <v>0</v>
      </c>
      <c r="AC32" s="492">
        <v>0</v>
      </c>
      <c r="AD32" s="789">
        <f t="shared" si="45"/>
        <v>0</v>
      </c>
      <c r="AE32" s="715">
        <v>0</v>
      </c>
      <c r="AF32" s="491">
        <v>0</v>
      </c>
      <c r="AG32" s="326">
        <v>0</v>
      </c>
      <c r="AH32" s="326">
        <v>0</v>
      </c>
      <c r="AI32" s="326">
        <v>0</v>
      </c>
      <c r="AJ32" s="326">
        <v>0</v>
      </c>
      <c r="AK32" s="626">
        <f>SUM(AE32:AJ32)</f>
        <v>0</v>
      </c>
      <c r="AL32" s="696">
        <f>I32+AD32</f>
        <v>225936</v>
      </c>
      <c r="AM32" s="492">
        <f>J32+U32</f>
        <v>167608</v>
      </c>
      <c r="AN32" s="492">
        <f>Y32</f>
        <v>0</v>
      </c>
      <c r="AO32" s="492">
        <f t="shared" si="46"/>
        <v>56652</v>
      </c>
      <c r="AP32" s="492">
        <f t="shared" si="46"/>
        <v>1676</v>
      </c>
      <c r="AQ32" s="492">
        <f t="shared" si="46"/>
        <v>0</v>
      </c>
      <c r="AR32" s="626">
        <f>N32+AK32</f>
        <v>0.42</v>
      </c>
    </row>
    <row r="33" spans="1:44" ht="12.95" customHeight="1" x14ac:dyDescent="0.25">
      <c r="A33" s="249">
        <v>6</v>
      </c>
      <c r="B33" s="250">
        <v>5449</v>
      </c>
      <c r="C33" s="251">
        <v>600099458</v>
      </c>
      <c r="D33" s="250">
        <v>70188408</v>
      </c>
      <c r="E33" s="252" t="s">
        <v>346</v>
      </c>
      <c r="F33" s="216"/>
      <c r="G33" s="254"/>
      <c r="H33" s="217"/>
      <c r="I33" s="686">
        <f t="shared" ref="I33:AR33" si="49">SUM(I29:I32)</f>
        <v>16815354</v>
      </c>
      <c r="J33" s="355">
        <f t="shared" si="49"/>
        <v>12474298</v>
      </c>
      <c r="K33" s="355">
        <f t="shared" si="49"/>
        <v>4216313</v>
      </c>
      <c r="L33" s="355">
        <f t="shared" si="49"/>
        <v>124743</v>
      </c>
      <c r="M33" s="355">
        <f t="shared" ref="M33" si="50">SUM(M29:M32)</f>
        <v>0</v>
      </c>
      <c r="N33" s="816">
        <f t="shared" si="49"/>
        <v>17.673999999999999</v>
      </c>
      <c r="O33" s="686">
        <f t="shared" si="49"/>
        <v>-60000</v>
      </c>
      <c r="P33" s="355">
        <f t="shared" si="49"/>
        <v>0</v>
      </c>
      <c r="Q33" s="355">
        <f t="shared" si="49"/>
        <v>0</v>
      </c>
      <c r="R33" s="355">
        <f t="shared" si="49"/>
        <v>0</v>
      </c>
      <c r="S33" s="355">
        <f t="shared" si="49"/>
        <v>0</v>
      </c>
      <c r="T33" s="355">
        <f t="shared" si="49"/>
        <v>0</v>
      </c>
      <c r="U33" s="355">
        <f t="shared" si="49"/>
        <v>-60000</v>
      </c>
      <c r="V33" s="355">
        <f t="shared" si="49"/>
        <v>60000</v>
      </c>
      <c r="W33" s="355">
        <f t="shared" si="49"/>
        <v>0</v>
      </c>
      <c r="X33" s="355">
        <f t="shared" si="49"/>
        <v>0</v>
      </c>
      <c r="Y33" s="355">
        <f t="shared" si="49"/>
        <v>60000</v>
      </c>
      <c r="Z33" s="355">
        <f t="shared" si="49"/>
        <v>0</v>
      </c>
      <c r="AA33" s="355">
        <f t="shared" si="49"/>
        <v>0</v>
      </c>
      <c r="AB33" s="355">
        <f t="shared" si="49"/>
        <v>-600</v>
      </c>
      <c r="AC33" s="355">
        <f t="shared" si="49"/>
        <v>0</v>
      </c>
      <c r="AD33" s="683">
        <f t="shared" si="49"/>
        <v>-600</v>
      </c>
      <c r="AE33" s="829">
        <v>-6.0000000000000005E-2</v>
      </c>
      <c r="AF33" s="356">
        <f t="shared" si="49"/>
        <v>0</v>
      </c>
      <c r="AG33" s="356">
        <f t="shared" si="49"/>
        <v>0</v>
      </c>
      <c r="AH33" s="356">
        <f t="shared" si="49"/>
        <v>0</v>
      </c>
      <c r="AI33" s="356">
        <f t="shared" si="49"/>
        <v>0</v>
      </c>
      <c r="AJ33" s="356">
        <f t="shared" si="49"/>
        <v>0</v>
      </c>
      <c r="AK33" s="253">
        <f t="shared" si="49"/>
        <v>-6.0000000000000005E-2</v>
      </c>
      <c r="AL33" s="686">
        <f t="shared" si="49"/>
        <v>16814754</v>
      </c>
      <c r="AM33" s="355">
        <f t="shared" si="49"/>
        <v>12414298</v>
      </c>
      <c r="AN33" s="355">
        <f t="shared" si="49"/>
        <v>60000</v>
      </c>
      <c r="AO33" s="355">
        <f t="shared" si="49"/>
        <v>4216313</v>
      </c>
      <c r="AP33" s="355">
        <f t="shared" si="49"/>
        <v>124143</v>
      </c>
      <c r="AQ33" s="355">
        <f t="shared" si="49"/>
        <v>0</v>
      </c>
      <c r="AR33" s="253">
        <f t="shared" si="49"/>
        <v>17.613999999999997</v>
      </c>
    </row>
    <row r="34" spans="1:44" ht="12.95" customHeight="1" x14ac:dyDescent="0.25">
      <c r="A34" s="205">
        <v>7</v>
      </c>
      <c r="B34" s="246">
        <v>5443</v>
      </c>
      <c r="C34" s="247">
        <v>600099237</v>
      </c>
      <c r="D34" s="206">
        <v>854841</v>
      </c>
      <c r="E34" s="248" t="s">
        <v>347</v>
      </c>
      <c r="F34" s="206">
        <v>3113</v>
      </c>
      <c r="G34" s="248" t="s">
        <v>294</v>
      </c>
      <c r="H34" s="209" t="s">
        <v>262</v>
      </c>
      <c r="I34" s="627">
        <f t="shared" ref="I34:I37" si="51">SUM(J34:M34)</f>
        <v>19116950</v>
      </c>
      <c r="J34" s="559">
        <v>14181714</v>
      </c>
      <c r="K34" s="431">
        <f t="shared" ref="K34:K37" si="52">ROUND(J34*33.8%,0)</f>
        <v>4793419</v>
      </c>
      <c r="L34" s="431">
        <f t="shared" ref="L34:L37" si="53">ROUND(J34*1%,0)</f>
        <v>141817</v>
      </c>
      <c r="M34" s="325">
        <v>0</v>
      </c>
      <c r="N34" s="751">
        <v>20.227399999999999</v>
      </c>
      <c r="O34" s="327">
        <f>V34*-1</f>
        <v>0</v>
      </c>
      <c r="P34" s="492">
        <v>0</v>
      </c>
      <c r="Q34" s="325">
        <v>0</v>
      </c>
      <c r="R34" s="325">
        <v>0</v>
      </c>
      <c r="S34" s="325">
        <v>0</v>
      </c>
      <c r="T34" s="325">
        <v>0</v>
      </c>
      <c r="U34" s="492">
        <f>O34+P34+Q34+R34+S34+T34</f>
        <v>0</v>
      </c>
      <c r="V34" s="470">
        <v>0</v>
      </c>
      <c r="W34" s="470">
        <v>0</v>
      </c>
      <c r="X34" s="325">
        <v>0</v>
      </c>
      <c r="Y34" s="492">
        <f t="shared" ref="Y34:Y37" si="54">V34+W34+X34</f>
        <v>0</v>
      </c>
      <c r="Z34" s="492">
        <f t="shared" ref="Z34:Z37" si="55">U34+Y34</f>
        <v>0</v>
      </c>
      <c r="AA34" s="494">
        <f t="shared" ref="AA34:AA37" si="56">ROUND((U34+Y34)*33.8%,0)</f>
        <v>0</v>
      </c>
      <c r="AB34" s="494">
        <f t="shared" ref="AB34:AB37" si="57">ROUND(U34*1%,0)</f>
        <v>0</v>
      </c>
      <c r="AC34" s="492">
        <v>0</v>
      </c>
      <c r="AD34" s="789">
        <f t="shared" ref="AD34:AD37" si="58">Z34+AA34+AB34+AC34</f>
        <v>0</v>
      </c>
      <c r="AE34" s="715">
        <v>0</v>
      </c>
      <c r="AF34" s="491">
        <v>0</v>
      </c>
      <c r="AG34" s="326">
        <v>0</v>
      </c>
      <c r="AH34" s="326">
        <v>0</v>
      </c>
      <c r="AI34" s="326">
        <v>0</v>
      </c>
      <c r="AJ34" s="326">
        <v>0</v>
      </c>
      <c r="AK34" s="626">
        <f>SUM(AE34:AJ34)</f>
        <v>0</v>
      </c>
      <c r="AL34" s="696">
        <f>I34+AD34</f>
        <v>19116950</v>
      </c>
      <c r="AM34" s="492">
        <f>J34+U34</f>
        <v>14181714</v>
      </c>
      <c r="AN34" s="492">
        <f>Y34</f>
        <v>0</v>
      </c>
      <c r="AO34" s="492">
        <f t="shared" ref="AO34:AQ37" si="59">K34+AA34</f>
        <v>4793419</v>
      </c>
      <c r="AP34" s="492">
        <f t="shared" si="59"/>
        <v>141817</v>
      </c>
      <c r="AQ34" s="492">
        <f t="shared" si="59"/>
        <v>0</v>
      </c>
      <c r="AR34" s="626">
        <f>N34+AK34</f>
        <v>20.227399999999999</v>
      </c>
    </row>
    <row r="35" spans="1:44" ht="12.95" customHeight="1" x14ac:dyDescent="0.25">
      <c r="A35" s="737">
        <v>7</v>
      </c>
      <c r="B35" s="746">
        <v>5443</v>
      </c>
      <c r="C35" s="747">
        <v>600099237</v>
      </c>
      <c r="D35" s="738">
        <v>854841</v>
      </c>
      <c r="E35" s="748" t="s">
        <v>347</v>
      </c>
      <c r="F35" s="738">
        <v>3113</v>
      </c>
      <c r="G35" s="748" t="s">
        <v>799</v>
      </c>
      <c r="H35" s="209" t="s">
        <v>262</v>
      </c>
      <c r="I35" s="586">
        <f t="shared" si="51"/>
        <v>246226</v>
      </c>
      <c r="J35" s="559">
        <v>182660</v>
      </c>
      <c r="K35" s="431">
        <f t="shared" si="52"/>
        <v>61739</v>
      </c>
      <c r="L35" s="431">
        <f t="shared" si="53"/>
        <v>1827</v>
      </c>
      <c r="M35" s="325">
        <v>0</v>
      </c>
      <c r="N35" s="751">
        <v>0.3</v>
      </c>
      <c r="O35" s="327">
        <f>V35*-1</f>
        <v>0</v>
      </c>
      <c r="P35" s="492">
        <v>0</v>
      </c>
      <c r="Q35" s="325">
        <v>0</v>
      </c>
      <c r="R35" s="325">
        <v>0</v>
      </c>
      <c r="S35" s="325">
        <v>0</v>
      </c>
      <c r="T35" s="325">
        <v>0</v>
      </c>
      <c r="U35" s="492">
        <f>O35+P35+Q35+R35+S35+T35</f>
        <v>0</v>
      </c>
      <c r="V35" s="470">
        <v>0</v>
      </c>
      <c r="W35" s="470">
        <v>0</v>
      </c>
      <c r="X35" s="325">
        <v>0</v>
      </c>
      <c r="Y35" s="492">
        <f>V35+W35+X35</f>
        <v>0</v>
      </c>
      <c r="Z35" s="492">
        <f>U35+Y35</f>
        <v>0</v>
      </c>
      <c r="AA35" s="494">
        <f>ROUND((U35+Y35)*33.8%,0)</f>
        <v>0</v>
      </c>
      <c r="AB35" s="494">
        <f>ROUND(U35*1%,0)</f>
        <v>0</v>
      </c>
      <c r="AC35" s="492">
        <v>0</v>
      </c>
      <c r="AD35" s="789">
        <f>Z35+AA35+AB35+AC35</f>
        <v>0</v>
      </c>
      <c r="AE35" s="715">
        <v>0</v>
      </c>
      <c r="AF35" s="491">
        <v>0</v>
      </c>
      <c r="AG35" s="326">
        <v>0</v>
      </c>
      <c r="AH35" s="326">
        <v>0</v>
      </c>
      <c r="AI35" s="326">
        <v>0</v>
      </c>
      <c r="AJ35" s="326">
        <v>0</v>
      </c>
      <c r="AK35" s="626">
        <f>SUM(AE35:AJ35)</f>
        <v>0</v>
      </c>
      <c r="AL35" s="696">
        <f>I35+AD35</f>
        <v>246226</v>
      </c>
      <c r="AM35" s="492">
        <f>J35+U35</f>
        <v>182660</v>
      </c>
      <c r="AN35" s="492">
        <f>Y35</f>
        <v>0</v>
      </c>
      <c r="AO35" s="492">
        <f t="shared" si="59"/>
        <v>61739</v>
      </c>
      <c r="AP35" s="492">
        <f t="shared" si="59"/>
        <v>1827</v>
      </c>
      <c r="AQ35" s="492">
        <f t="shared" si="59"/>
        <v>0</v>
      </c>
      <c r="AR35" s="626">
        <f>N35+AK35</f>
        <v>0.3</v>
      </c>
    </row>
    <row r="36" spans="1:44" ht="12.95" customHeight="1" x14ac:dyDescent="0.25">
      <c r="A36" s="205">
        <v>7</v>
      </c>
      <c r="B36" s="246">
        <v>5443</v>
      </c>
      <c r="C36" s="247">
        <v>600099237</v>
      </c>
      <c r="D36" s="206">
        <v>854841</v>
      </c>
      <c r="E36" s="248" t="s">
        <v>347</v>
      </c>
      <c r="F36" s="206">
        <v>3113</v>
      </c>
      <c r="G36" s="248" t="s">
        <v>284</v>
      </c>
      <c r="H36" s="209" t="s">
        <v>263</v>
      </c>
      <c r="I36" s="586">
        <f t="shared" si="51"/>
        <v>0</v>
      </c>
      <c r="J36" s="490"/>
      <c r="K36" s="431">
        <f t="shared" si="52"/>
        <v>0</v>
      </c>
      <c r="L36" s="431">
        <f t="shared" si="53"/>
        <v>0</v>
      </c>
      <c r="M36" s="325">
        <v>0</v>
      </c>
      <c r="N36" s="752"/>
      <c r="O36" s="327">
        <f>V36*-1</f>
        <v>0</v>
      </c>
      <c r="P36" s="492">
        <f>2699158+242829</f>
        <v>2941987</v>
      </c>
      <c r="Q36" s="325">
        <v>0</v>
      </c>
      <c r="R36" s="325">
        <v>0</v>
      </c>
      <c r="S36" s="325">
        <v>0</v>
      </c>
      <c r="T36" s="325">
        <v>0</v>
      </c>
      <c r="U36" s="492">
        <f>O36+P36+Q36+R36+S36+T36</f>
        <v>2941987</v>
      </c>
      <c r="V36" s="470">
        <v>0</v>
      </c>
      <c r="W36" s="470">
        <v>0</v>
      </c>
      <c r="X36" s="325">
        <v>0</v>
      </c>
      <c r="Y36" s="492">
        <f t="shared" si="54"/>
        <v>0</v>
      </c>
      <c r="Z36" s="492">
        <f t="shared" si="55"/>
        <v>2941987</v>
      </c>
      <c r="AA36" s="494">
        <f t="shared" si="56"/>
        <v>994392</v>
      </c>
      <c r="AB36" s="494">
        <f t="shared" si="57"/>
        <v>29420</v>
      </c>
      <c r="AC36" s="492">
        <v>0</v>
      </c>
      <c r="AD36" s="789">
        <f t="shared" si="58"/>
        <v>3965799</v>
      </c>
      <c r="AE36" s="715">
        <v>0</v>
      </c>
      <c r="AF36" s="491">
        <f>6.34+0.46</f>
        <v>6.8</v>
      </c>
      <c r="AG36" s="326">
        <v>0</v>
      </c>
      <c r="AH36" s="326">
        <v>0</v>
      </c>
      <c r="AI36" s="326">
        <v>0</v>
      </c>
      <c r="AJ36" s="326">
        <v>0</v>
      </c>
      <c r="AK36" s="626">
        <f>SUM(AE36:AJ36)</f>
        <v>6.8</v>
      </c>
      <c r="AL36" s="696">
        <f>I36+AD36</f>
        <v>3965799</v>
      </c>
      <c r="AM36" s="492">
        <f>J36+U36</f>
        <v>2941987</v>
      </c>
      <c r="AN36" s="492">
        <f>Y36</f>
        <v>0</v>
      </c>
      <c r="AO36" s="492">
        <f t="shared" si="59"/>
        <v>994392</v>
      </c>
      <c r="AP36" s="492">
        <f t="shared" si="59"/>
        <v>29420</v>
      </c>
      <c r="AQ36" s="492">
        <f t="shared" si="59"/>
        <v>0</v>
      </c>
      <c r="AR36" s="626">
        <f>N36+AK36</f>
        <v>6.8</v>
      </c>
    </row>
    <row r="37" spans="1:44" ht="12.95" customHeight="1" x14ac:dyDescent="0.25">
      <c r="A37" s="205">
        <v>7</v>
      </c>
      <c r="B37" s="246">
        <v>5443</v>
      </c>
      <c r="C37" s="247">
        <v>600099237</v>
      </c>
      <c r="D37" s="206">
        <v>854841</v>
      </c>
      <c r="E37" s="248" t="s">
        <v>347</v>
      </c>
      <c r="F37" s="206">
        <v>3143</v>
      </c>
      <c r="G37" s="248" t="s">
        <v>795</v>
      </c>
      <c r="H37" s="209" t="s">
        <v>262</v>
      </c>
      <c r="I37" s="586">
        <f t="shared" si="51"/>
        <v>1518521</v>
      </c>
      <c r="J37" s="490">
        <v>1126499</v>
      </c>
      <c r="K37" s="431">
        <f t="shared" si="52"/>
        <v>380757</v>
      </c>
      <c r="L37" s="431">
        <f t="shared" si="53"/>
        <v>11265</v>
      </c>
      <c r="M37" s="325">
        <v>0</v>
      </c>
      <c r="N37" s="752">
        <v>2.0466000000000002</v>
      </c>
      <c r="O37" s="327">
        <f>V37*-1</f>
        <v>-18000</v>
      </c>
      <c r="P37" s="492">
        <v>0</v>
      </c>
      <c r="Q37" s="325">
        <v>0</v>
      </c>
      <c r="R37" s="325">
        <v>0</v>
      </c>
      <c r="S37" s="325">
        <v>0</v>
      </c>
      <c r="T37" s="325">
        <v>0</v>
      </c>
      <c r="U37" s="492">
        <f>O37+P37+Q37+R37+S37+T37</f>
        <v>-18000</v>
      </c>
      <c r="V37" s="470">
        <v>18000</v>
      </c>
      <c r="W37" s="470">
        <v>0</v>
      </c>
      <c r="X37" s="325">
        <v>0</v>
      </c>
      <c r="Y37" s="492">
        <f t="shared" si="54"/>
        <v>18000</v>
      </c>
      <c r="Z37" s="492">
        <f t="shared" si="55"/>
        <v>0</v>
      </c>
      <c r="AA37" s="494">
        <f t="shared" si="56"/>
        <v>0</v>
      </c>
      <c r="AB37" s="494">
        <f t="shared" si="57"/>
        <v>-180</v>
      </c>
      <c r="AC37" s="492">
        <v>0</v>
      </c>
      <c r="AD37" s="789">
        <f t="shared" si="58"/>
        <v>-180</v>
      </c>
      <c r="AE37" s="715">
        <v>-0.03</v>
      </c>
      <c r="AF37" s="491">
        <v>0</v>
      </c>
      <c r="AG37" s="326">
        <v>0</v>
      </c>
      <c r="AH37" s="326">
        <v>0</v>
      </c>
      <c r="AI37" s="326">
        <v>0</v>
      </c>
      <c r="AJ37" s="326">
        <v>0</v>
      </c>
      <c r="AK37" s="626">
        <f>SUM(AE37:AJ37)</f>
        <v>-0.03</v>
      </c>
      <c r="AL37" s="696">
        <f>I37+AD37</f>
        <v>1518341</v>
      </c>
      <c r="AM37" s="492">
        <f>J37+U37</f>
        <v>1108499</v>
      </c>
      <c r="AN37" s="492">
        <f>Y37</f>
        <v>18000</v>
      </c>
      <c r="AO37" s="492">
        <f t="shared" si="59"/>
        <v>380757</v>
      </c>
      <c r="AP37" s="492">
        <f t="shared" si="59"/>
        <v>11085</v>
      </c>
      <c r="AQ37" s="492">
        <f t="shared" si="59"/>
        <v>0</v>
      </c>
      <c r="AR37" s="626">
        <f>N37+AK37</f>
        <v>2.0166000000000004</v>
      </c>
    </row>
    <row r="38" spans="1:44" ht="12.95" customHeight="1" x14ac:dyDescent="0.25">
      <c r="A38" s="249">
        <v>7</v>
      </c>
      <c r="B38" s="250">
        <v>5443</v>
      </c>
      <c r="C38" s="257">
        <v>600099237</v>
      </c>
      <c r="D38" s="250">
        <v>854841</v>
      </c>
      <c r="E38" s="252" t="s">
        <v>348</v>
      </c>
      <c r="F38" s="216"/>
      <c r="G38" s="254"/>
      <c r="H38" s="217"/>
      <c r="I38" s="687">
        <f t="shared" ref="I38:AR38" si="60">SUM(I34:I37)</f>
        <v>20881697</v>
      </c>
      <c r="J38" s="357">
        <f t="shared" si="60"/>
        <v>15490873</v>
      </c>
      <c r="K38" s="357">
        <f t="shared" si="60"/>
        <v>5235915</v>
      </c>
      <c r="L38" s="357">
        <f t="shared" si="60"/>
        <v>154909</v>
      </c>
      <c r="M38" s="357">
        <f t="shared" ref="M38" si="61">SUM(M34:M37)</f>
        <v>0</v>
      </c>
      <c r="N38" s="834">
        <f t="shared" si="60"/>
        <v>22.574000000000002</v>
      </c>
      <c r="O38" s="687">
        <f t="shared" si="60"/>
        <v>-18000</v>
      </c>
      <c r="P38" s="357">
        <f t="shared" si="60"/>
        <v>2941987</v>
      </c>
      <c r="Q38" s="357">
        <f t="shared" si="60"/>
        <v>0</v>
      </c>
      <c r="R38" s="357">
        <f t="shared" si="60"/>
        <v>0</v>
      </c>
      <c r="S38" s="357">
        <f t="shared" si="60"/>
        <v>0</v>
      </c>
      <c r="T38" s="357">
        <f t="shared" si="60"/>
        <v>0</v>
      </c>
      <c r="U38" s="357">
        <f t="shared" si="60"/>
        <v>2923987</v>
      </c>
      <c r="V38" s="357">
        <f t="shared" si="60"/>
        <v>18000</v>
      </c>
      <c r="W38" s="357">
        <f t="shared" si="60"/>
        <v>0</v>
      </c>
      <c r="X38" s="357">
        <f t="shared" si="60"/>
        <v>0</v>
      </c>
      <c r="Y38" s="357">
        <f t="shared" si="60"/>
        <v>18000</v>
      </c>
      <c r="Z38" s="357">
        <f t="shared" si="60"/>
        <v>2941987</v>
      </c>
      <c r="AA38" s="357">
        <f t="shared" si="60"/>
        <v>994392</v>
      </c>
      <c r="AB38" s="357">
        <f t="shared" si="60"/>
        <v>29240</v>
      </c>
      <c r="AC38" s="357">
        <f t="shared" si="60"/>
        <v>0</v>
      </c>
      <c r="AD38" s="684">
        <f t="shared" si="60"/>
        <v>3965619</v>
      </c>
      <c r="AE38" s="836">
        <v>-0.03</v>
      </c>
      <c r="AF38" s="358">
        <f t="shared" si="60"/>
        <v>6.8</v>
      </c>
      <c r="AG38" s="358">
        <f t="shared" si="60"/>
        <v>0</v>
      </c>
      <c r="AH38" s="358">
        <f t="shared" si="60"/>
        <v>0</v>
      </c>
      <c r="AI38" s="358">
        <f t="shared" si="60"/>
        <v>0</v>
      </c>
      <c r="AJ38" s="358">
        <f t="shared" si="60"/>
        <v>0</v>
      </c>
      <c r="AK38" s="258">
        <f t="shared" si="60"/>
        <v>6.77</v>
      </c>
      <c r="AL38" s="687">
        <f t="shared" si="60"/>
        <v>24847316</v>
      </c>
      <c r="AM38" s="357">
        <f t="shared" si="60"/>
        <v>18414860</v>
      </c>
      <c r="AN38" s="357">
        <f t="shared" si="60"/>
        <v>18000</v>
      </c>
      <c r="AO38" s="357">
        <f t="shared" si="60"/>
        <v>6230307</v>
      </c>
      <c r="AP38" s="357">
        <f t="shared" si="60"/>
        <v>184149</v>
      </c>
      <c r="AQ38" s="357">
        <f t="shared" si="60"/>
        <v>0</v>
      </c>
      <c r="AR38" s="258">
        <f t="shared" si="60"/>
        <v>29.344000000000001</v>
      </c>
    </row>
    <row r="39" spans="1:44" ht="12.95" customHeight="1" x14ac:dyDescent="0.25">
      <c r="A39" s="205">
        <v>8</v>
      </c>
      <c r="B39" s="246">
        <v>5445</v>
      </c>
      <c r="C39" s="247">
        <v>600099351</v>
      </c>
      <c r="D39" s="206">
        <v>70155771</v>
      </c>
      <c r="E39" s="248" t="s">
        <v>349</v>
      </c>
      <c r="F39" s="206">
        <v>3113</v>
      </c>
      <c r="G39" s="248" t="s">
        <v>294</v>
      </c>
      <c r="H39" s="209" t="s">
        <v>262</v>
      </c>
      <c r="I39" s="627">
        <f t="shared" ref="I39:I43" si="62">SUM(J39:M39)</f>
        <v>26411426</v>
      </c>
      <c r="J39" s="559">
        <v>19593046</v>
      </c>
      <c r="K39" s="431">
        <f>ROUND(J39*33.8%,0)-1</f>
        <v>6622449</v>
      </c>
      <c r="L39" s="431">
        <f>ROUND(J39*1%,0)+1</f>
        <v>195931</v>
      </c>
      <c r="M39" s="325">
        <v>0</v>
      </c>
      <c r="N39" s="751">
        <v>25.045200000000001</v>
      </c>
      <c r="O39" s="327">
        <f t="shared" ref="O39:O43" si="63">V39*-1</f>
        <v>0</v>
      </c>
      <c r="P39" s="492">
        <v>0</v>
      </c>
      <c r="Q39" s="325">
        <v>0</v>
      </c>
      <c r="R39" s="325">
        <v>0</v>
      </c>
      <c r="S39" s="325">
        <v>0</v>
      </c>
      <c r="T39" s="325">
        <v>0</v>
      </c>
      <c r="U39" s="492">
        <f>O39+P39+Q39+R39+S39+T39</f>
        <v>0</v>
      </c>
      <c r="V39" s="325">
        <v>0</v>
      </c>
      <c r="W39" s="325">
        <v>0</v>
      </c>
      <c r="X39" s="325">
        <v>0</v>
      </c>
      <c r="Y39" s="492">
        <f t="shared" ref="Y39:Y43" si="64">V39+W39+X39</f>
        <v>0</v>
      </c>
      <c r="Z39" s="492">
        <f t="shared" ref="Z39:Z43" si="65">U39+Y39</f>
        <v>0</v>
      </c>
      <c r="AA39" s="494">
        <f t="shared" ref="AA39:AA43" si="66">ROUND((U39+Y39)*33.8%,0)</f>
        <v>0</v>
      </c>
      <c r="AB39" s="494">
        <f t="shared" ref="AB39:AB43" si="67">ROUND(U39*1%,0)</f>
        <v>0</v>
      </c>
      <c r="AC39" s="492">
        <v>0</v>
      </c>
      <c r="AD39" s="789">
        <f t="shared" ref="AD39:AD43" si="68">Z39+AA39+AB39+AC39</f>
        <v>0</v>
      </c>
      <c r="AE39" s="715">
        <v>0</v>
      </c>
      <c r="AF39" s="491">
        <v>0</v>
      </c>
      <c r="AG39" s="326">
        <v>0</v>
      </c>
      <c r="AH39" s="326">
        <v>0</v>
      </c>
      <c r="AI39" s="326">
        <v>0</v>
      </c>
      <c r="AJ39" s="326">
        <v>0</v>
      </c>
      <c r="AK39" s="626">
        <f>SUM(AE39:AJ39)</f>
        <v>0</v>
      </c>
      <c r="AL39" s="696">
        <f>I39+AD39</f>
        <v>26411426</v>
      </c>
      <c r="AM39" s="492">
        <f>J39+U39</f>
        <v>19593046</v>
      </c>
      <c r="AN39" s="492">
        <f>Y39</f>
        <v>0</v>
      </c>
      <c r="AO39" s="492">
        <f t="shared" ref="AO39:AQ43" si="69">K39+AA39</f>
        <v>6622449</v>
      </c>
      <c r="AP39" s="492">
        <f t="shared" si="69"/>
        <v>195931</v>
      </c>
      <c r="AQ39" s="492">
        <f t="shared" si="69"/>
        <v>0</v>
      </c>
      <c r="AR39" s="626">
        <f>N39+AK39</f>
        <v>25.045200000000001</v>
      </c>
    </row>
    <row r="40" spans="1:44" ht="12.95" customHeight="1" x14ac:dyDescent="0.25">
      <c r="A40" s="737">
        <v>8</v>
      </c>
      <c r="B40" s="746">
        <v>5445</v>
      </c>
      <c r="C40" s="747">
        <v>600099351</v>
      </c>
      <c r="D40" s="738">
        <v>70155771</v>
      </c>
      <c r="E40" s="748" t="s">
        <v>349</v>
      </c>
      <c r="F40" s="738">
        <v>3113</v>
      </c>
      <c r="G40" s="748" t="s">
        <v>799</v>
      </c>
      <c r="H40" s="209" t="s">
        <v>262</v>
      </c>
      <c r="I40" s="586">
        <f t="shared" si="62"/>
        <v>697517</v>
      </c>
      <c r="J40" s="559">
        <v>517446</v>
      </c>
      <c r="K40" s="431">
        <f t="shared" ref="K40:K43" si="70">ROUND(J40*33.8%,0)</f>
        <v>174897</v>
      </c>
      <c r="L40" s="431">
        <f t="shared" ref="L40:L43" si="71">ROUND(J40*1%,0)</f>
        <v>5174</v>
      </c>
      <c r="M40" s="325">
        <v>0</v>
      </c>
      <c r="N40" s="751">
        <v>0.98180000000000001</v>
      </c>
      <c r="O40" s="327">
        <f>V40*-1</f>
        <v>0</v>
      </c>
      <c r="P40" s="492">
        <v>0</v>
      </c>
      <c r="Q40" s="325">
        <v>0</v>
      </c>
      <c r="R40" s="325">
        <v>0</v>
      </c>
      <c r="S40" s="325">
        <v>0</v>
      </c>
      <c r="T40" s="325">
        <v>0</v>
      </c>
      <c r="U40" s="492">
        <f>O40+P40+Q40+R40+S40+T40</f>
        <v>0</v>
      </c>
      <c r="V40" s="325">
        <v>0</v>
      </c>
      <c r="W40" s="325">
        <v>0</v>
      </c>
      <c r="X40" s="325">
        <v>0</v>
      </c>
      <c r="Y40" s="492">
        <f>V40+W40+X40</f>
        <v>0</v>
      </c>
      <c r="Z40" s="492">
        <f>U40+Y40</f>
        <v>0</v>
      </c>
      <c r="AA40" s="494">
        <f>ROUND((U40+Y40)*33.8%,0)</f>
        <v>0</v>
      </c>
      <c r="AB40" s="494">
        <f>ROUND(U40*1%,0)</f>
        <v>0</v>
      </c>
      <c r="AC40" s="492">
        <v>0</v>
      </c>
      <c r="AD40" s="789">
        <f>Z40+AA40+AB40+AC40</f>
        <v>0</v>
      </c>
      <c r="AE40" s="715">
        <v>0</v>
      </c>
      <c r="AF40" s="491">
        <v>0</v>
      </c>
      <c r="AG40" s="326">
        <v>0</v>
      </c>
      <c r="AH40" s="326">
        <v>0</v>
      </c>
      <c r="AI40" s="326">
        <v>0</v>
      </c>
      <c r="AJ40" s="326">
        <v>0</v>
      </c>
      <c r="AK40" s="626">
        <f>SUM(AE40:AJ40)</f>
        <v>0</v>
      </c>
      <c r="AL40" s="696">
        <f>I40+AD40</f>
        <v>697517</v>
      </c>
      <c r="AM40" s="492">
        <f>J40+U40</f>
        <v>517446</v>
      </c>
      <c r="AN40" s="492">
        <f>Y40</f>
        <v>0</v>
      </c>
      <c r="AO40" s="492">
        <f t="shared" si="69"/>
        <v>174897</v>
      </c>
      <c r="AP40" s="492">
        <f t="shared" si="69"/>
        <v>5174</v>
      </c>
      <c r="AQ40" s="492">
        <f t="shared" si="69"/>
        <v>0</v>
      </c>
      <c r="AR40" s="626">
        <f>N40+AK40</f>
        <v>0.98180000000000001</v>
      </c>
    </row>
    <row r="41" spans="1:44" ht="12.95" customHeight="1" x14ac:dyDescent="0.25">
      <c r="A41" s="205">
        <v>8</v>
      </c>
      <c r="B41" s="246">
        <v>5445</v>
      </c>
      <c r="C41" s="247">
        <v>600099351</v>
      </c>
      <c r="D41" s="206">
        <v>70155771</v>
      </c>
      <c r="E41" s="248" t="s">
        <v>349</v>
      </c>
      <c r="F41" s="206">
        <v>3113</v>
      </c>
      <c r="G41" s="248" t="s">
        <v>284</v>
      </c>
      <c r="H41" s="209" t="s">
        <v>263</v>
      </c>
      <c r="I41" s="586">
        <f t="shared" si="62"/>
        <v>0</v>
      </c>
      <c r="J41" s="490"/>
      <c r="K41" s="431">
        <f t="shared" si="70"/>
        <v>0</v>
      </c>
      <c r="L41" s="431">
        <f t="shared" si="71"/>
        <v>0</v>
      </c>
      <c r="M41" s="325">
        <v>0</v>
      </c>
      <c r="N41" s="752"/>
      <c r="O41" s="327">
        <f t="shared" si="63"/>
        <v>0</v>
      </c>
      <c r="P41" s="492">
        <f>2454495+153192</f>
        <v>2607687</v>
      </c>
      <c r="Q41" s="325">
        <v>0</v>
      </c>
      <c r="R41" s="325">
        <v>0</v>
      </c>
      <c r="S41" s="325">
        <v>0</v>
      </c>
      <c r="T41" s="325">
        <v>0</v>
      </c>
      <c r="U41" s="492">
        <f>O41+P41+Q41+R41+S41+T41</f>
        <v>2607687</v>
      </c>
      <c r="V41" s="325">
        <v>0</v>
      </c>
      <c r="W41" s="325">
        <v>0</v>
      </c>
      <c r="X41" s="325">
        <v>0</v>
      </c>
      <c r="Y41" s="492">
        <f t="shared" si="64"/>
        <v>0</v>
      </c>
      <c r="Z41" s="492">
        <f t="shared" si="65"/>
        <v>2607687</v>
      </c>
      <c r="AA41" s="494">
        <f t="shared" si="66"/>
        <v>881398</v>
      </c>
      <c r="AB41" s="494">
        <f t="shared" si="67"/>
        <v>26077</v>
      </c>
      <c r="AC41" s="492">
        <v>0</v>
      </c>
      <c r="AD41" s="789">
        <f t="shared" si="68"/>
        <v>3515162</v>
      </c>
      <c r="AE41" s="715">
        <v>0</v>
      </c>
      <c r="AF41" s="491">
        <f>5.87+0.41</f>
        <v>6.28</v>
      </c>
      <c r="AG41" s="326">
        <v>0</v>
      </c>
      <c r="AH41" s="326">
        <v>0</v>
      </c>
      <c r="AI41" s="326">
        <v>0</v>
      </c>
      <c r="AJ41" s="326">
        <v>0</v>
      </c>
      <c r="AK41" s="626">
        <f>SUM(AE41:AJ41)</f>
        <v>6.28</v>
      </c>
      <c r="AL41" s="696">
        <f>I41+AD41</f>
        <v>3515162</v>
      </c>
      <c r="AM41" s="492">
        <f>J41+U41</f>
        <v>2607687</v>
      </c>
      <c r="AN41" s="492">
        <f>Y41</f>
        <v>0</v>
      </c>
      <c r="AO41" s="492">
        <f t="shared" si="69"/>
        <v>881398</v>
      </c>
      <c r="AP41" s="492">
        <f t="shared" si="69"/>
        <v>26077</v>
      </c>
      <c r="AQ41" s="492">
        <f t="shared" si="69"/>
        <v>0</v>
      </c>
      <c r="AR41" s="626">
        <f>N41+AK41</f>
        <v>6.28</v>
      </c>
    </row>
    <row r="42" spans="1:44" ht="12.95" customHeight="1" x14ac:dyDescent="0.25">
      <c r="A42" s="205">
        <v>8</v>
      </c>
      <c r="B42" s="246">
        <v>5445</v>
      </c>
      <c r="C42" s="247">
        <v>600099351</v>
      </c>
      <c r="D42" s="206">
        <v>70155771</v>
      </c>
      <c r="E42" s="248" t="s">
        <v>349</v>
      </c>
      <c r="F42" s="206">
        <v>3143</v>
      </c>
      <c r="G42" s="248" t="s">
        <v>795</v>
      </c>
      <c r="H42" s="209" t="s">
        <v>262</v>
      </c>
      <c r="I42" s="586">
        <f t="shared" si="62"/>
        <v>2086923</v>
      </c>
      <c r="J42" s="490">
        <v>1548162</v>
      </c>
      <c r="K42" s="431">
        <f t="shared" si="70"/>
        <v>523279</v>
      </c>
      <c r="L42" s="431">
        <f t="shared" si="71"/>
        <v>15482</v>
      </c>
      <c r="M42" s="325">
        <v>0</v>
      </c>
      <c r="N42" s="752">
        <v>2.7585999999999999</v>
      </c>
      <c r="O42" s="327">
        <f t="shared" si="63"/>
        <v>0</v>
      </c>
      <c r="P42" s="492">
        <v>0</v>
      </c>
      <c r="Q42" s="325">
        <v>0</v>
      </c>
      <c r="R42" s="325">
        <v>0</v>
      </c>
      <c r="S42" s="325">
        <v>0</v>
      </c>
      <c r="T42" s="325">
        <v>0</v>
      </c>
      <c r="U42" s="492">
        <f>O42+P42+Q42+R42+S42+T42</f>
        <v>0</v>
      </c>
      <c r="V42" s="325">
        <v>0</v>
      </c>
      <c r="W42" s="325">
        <v>0</v>
      </c>
      <c r="X42" s="325">
        <v>0</v>
      </c>
      <c r="Y42" s="492">
        <f t="shared" si="64"/>
        <v>0</v>
      </c>
      <c r="Z42" s="492">
        <f t="shared" si="65"/>
        <v>0</v>
      </c>
      <c r="AA42" s="494">
        <f t="shared" si="66"/>
        <v>0</v>
      </c>
      <c r="AB42" s="494">
        <f t="shared" si="67"/>
        <v>0</v>
      </c>
      <c r="AC42" s="492">
        <v>0</v>
      </c>
      <c r="AD42" s="789">
        <f t="shared" si="68"/>
        <v>0</v>
      </c>
      <c r="AE42" s="715">
        <v>0</v>
      </c>
      <c r="AF42" s="491">
        <v>0</v>
      </c>
      <c r="AG42" s="326">
        <v>0</v>
      </c>
      <c r="AH42" s="326">
        <v>0</v>
      </c>
      <c r="AI42" s="326">
        <v>0</v>
      </c>
      <c r="AJ42" s="326">
        <v>0</v>
      </c>
      <c r="AK42" s="626">
        <f>SUM(AE42:AJ42)</f>
        <v>0</v>
      </c>
      <c r="AL42" s="696">
        <f>I42+AD42</f>
        <v>2086923</v>
      </c>
      <c r="AM42" s="492">
        <f>J42+U42</f>
        <v>1548162</v>
      </c>
      <c r="AN42" s="492">
        <f>Y42</f>
        <v>0</v>
      </c>
      <c r="AO42" s="492">
        <f t="shared" si="69"/>
        <v>523279</v>
      </c>
      <c r="AP42" s="492">
        <f t="shared" si="69"/>
        <v>15482</v>
      </c>
      <c r="AQ42" s="492">
        <f t="shared" si="69"/>
        <v>0</v>
      </c>
      <c r="AR42" s="626">
        <f>N42+AK42</f>
        <v>2.7585999999999999</v>
      </c>
    </row>
    <row r="43" spans="1:44" ht="12.95" customHeight="1" x14ac:dyDescent="0.25">
      <c r="A43" s="205">
        <v>8</v>
      </c>
      <c r="B43" s="246">
        <v>5445</v>
      </c>
      <c r="C43" s="247">
        <v>600099351</v>
      </c>
      <c r="D43" s="206">
        <v>70155771</v>
      </c>
      <c r="E43" s="248" t="s">
        <v>349</v>
      </c>
      <c r="F43" s="206">
        <v>3143</v>
      </c>
      <c r="G43" s="248" t="s">
        <v>282</v>
      </c>
      <c r="H43" s="209" t="s">
        <v>263</v>
      </c>
      <c r="I43" s="586">
        <f t="shared" si="62"/>
        <v>259597</v>
      </c>
      <c r="J43" s="490">
        <v>192579</v>
      </c>
      <c r="K43" s="431">
        <f t="shared" si="70"/>
        <v>65092</v>
      </c>
      <c r="L43" s="431">
        <f t="shared" si="71"/>
        <v>1926</v>
      </c>
      <c r="M43" s="325">
        <v>0</v>
      </c>
      <c r="N43" s="752">
        <v>0.36</v>
      </c>
      <c r="O43" s="327">
        <f t="shared" si="63"/>
        <v>-30000</v>
      </c>
      <c r="P43" s="492">
        <v>0</v>
      </c>
      <c r="Q43" s="325">
        <v>0</v>
      </c>
      <c r="R43" s="325">
        <v>0</v>
      </c>
      <c r="S43" s="325">
        <v>0</v>
      </c>
      <c r="T43" s="325">
        <v>0</v>
      </c>
      <c r="U43" s="492">
        <f>O43+P43+Q43+R43+S43+T43</f>
        <v>-30000</v>
      </c>
      <c r="V43" s="325">
        <v>30000</v>
      </c>
      <c r="W43" s="325">
        <v>0</v>
      </c>
      <c r="X43" s="325">
        <v>0</v>
      </c>
      <c r="Y43" s="492">
        <f t="shared" si="64"/>
        <v>30000</v>
      </c>
      <c r="Z43" s="492">
        <f t="shared" si="65"/>
        <v>0</v>
      </c>
      <c r="AA43" s="494">
        <f t="shared" si="66"/>
        <v>0</v>
      </c>
      <c r="AB43" s="494">
        <f t="shared" si="67"/>
        <v>-300</v>
      </c>
      <c r="AC43" s="492">
        <v>0</v>
      </c>
      <c r="AD43" s="789">
        <f t="shared" si="68"/>
        <v>-300</v>
      </c>
      <c r="AE43" s="715">
        <v>-0.05</v>
      </c>
      <c r="AF43" s="491">
        <v>0</v>
      </c>
      <c r="AG43" s="326">
        <v>0</v>
      </c>
      <c r="AH43" s="326">
        <v>0</v>
      </c>
      <c r="AI43" s="326">
        <v>0</v>
      </c>
      <c r="AJ43" s="326">
        <v>0</v>
      </c>
      <c r="AK43" s="626">
        <f>SUM(AE43:AJ43)</f>
        <v>-0.05</v>
      </c>
      <c r="AL43" s="696">
        <f>I43+AD43</f>
        <v>259297</v>
      </c>
      <c r="AM43" s="492">
        <f>J43+U43</f>
        <v>162579</v>
      </c>
      <c r="AN43" s="492">
        <f>Y43</f>
        <v>30000</v>
      </c>
      <c r="AO43" s="492">
        <f t="shared" si="69"/>
        <v>65092</v>
      </c>
      <c r="AP43" s="492">
        <f t="shared" si="69"/>
        <v>1626</v>
      </c>
      <c r="AQ43" s="492">
        <f t="shared" si="69"/>
        <v>0</v>
      </c>
      <c r="AR43" s="626">
        <f>N43+AK43</f>
        <v>0.31</v>
      </c>
    </row>
    <row r="44" spans="1:44" ht="12.95" customHeight="1" x14ac:dyDescent="0.25">
      <c r="A44" s="249">
        <v>8</v>
      </c>
      <c r="B44" s="250">
        <v>5445</v>
      </c>
      <c r="C44" s="251">
        <v>600099351</v>
      </c>
      <c r="D44" s="250">
        <v>70155771</v>
      </c>
      <c r="E44" s="252" t="s">
        <v>350</v>
      </c>
      <c r="F44" s="216"/>
      <c r="G44" s="254"/>
      <c r="H44" s="217"/>
      <c r="I44" s="686">
        <f t="shared" ref="I44:AR44" si="72">SUM(I39:I43)</f>
        <v>29455463</v>
      </c>
      <c r="J44" s="355">
        <f t="shared" si="72"/>
        <v>21851233</v>
      </c>
      <c r="K44" s="355">
        <f t="shared" si="72"/>
        <v>7385717</v>
      </c>
      <c r="L44" s="355">
        <f t="shared" si="72"/>
        <v>218513</v>
      </c>
      <c r="M44" s="355">
        <f t="shared" ref="M44" si="73">SUM(M39:M43)</f>
        <v>0</v>
      </c>
      <c r="N44" s="816">
        <f t="shared" si="72"/>
        <v>29.145600000000002</v>
      </c>
      <c r="O44" s="686">
        <f t="shared" si="72"/>
        <v>-30000</v>
      </c>
      <c r="P44" s="355">
        <f t="shared" si="72"/>
        <v>2607687</v>
      </c>
      <c r="Q44" s="355">
        <f t="shared" si="72"/>
        <v>0</v>
      </c>
      <c r="R44" s="355">
        <f t="shared" si="72"/>
        <v>0</v>
      </c>
      <c r="S44" s="355">
        <f t="shared" si="72"/>
        <v>0</v>
      </c>
      <c r="T44" s="355">
        <f t="shared" si="72"/>
        <v>0</v>
      </c>
      <c r="U44" s="355">
        <f t="shared" si="72"/>
        <v>2577687</v>
      </c>
      <c r="V44" s="355">
        <f t="shared" si="72"/>
        <v>30000</v>
      </c>
      <c r="W44" s="355">
        <f t="shared" si="72"/>
        <v>0</v>
      </c>
      <c r="X44" s="355">
        <f t="shared" si="72"/>
        <v>0</v>
      </c>
      <c r="Y44" s="355">
        <f t="shared" si="72"/>
        <v>30000</v>
      </c>
      <c r="Z44" s="355">
        <f t="shared" si="72"/>
        <v>2607687</v>
      </c>
      <c r="AA44" s="355">
        <f t="shared" si="72"/>
        <v>881398</v>
      </c>
      <c r="AB44" s="355">
        <f t="shared" si="72"/>
        <v>25777</v>
      </c>
      <c r="AC44" s="355">
        <f t="shared" si="72"/>
        <v>0</v>
      </c>
      <c r="AD44" s="683">
        <f t="shared" si="72"/>
        <v>3514862</v>
      </c>
      <c r="AE44" s="829">
        <v>-0.05</v>
      </c>
      <c r="AF44" s="356">
        <f t="shared" si="72"/>
        <v>6.28</v>
      </c>
      <c r="AG44" s="356">
        <f t="shared" si="72"/>
        <v>0</v>
      </c>
      <c r="AH44" s="356">
        <f t="shared" si="72"/>
        <v>0</v>
      </c>
      <c r="AI44" s="356">
        <f t="shared" si="72"/>
        <v>0</v>
      </c>
      <c r="AJ44" s="356">
        <f t="shared" si="72"/>
        <v>0</v>
      </c>
      <c r="AK44" s="253">
        <f t="shared" si="72"/>
        <v>6.23</v>
      </c>
      <c r="AL44" s="686">
        <f t="shared" si="72"/>
        <v>32970325</v>
      </c>
      <c r="AM44" s="355">
        <f t="shared" si="72"/>
        <v>24428920</v>
      </c>
      <c r="AN44" s="355">
        <f t="shared" si="72"/>
        <v>30000</v>
      </c>
      <c r="AO44" s="355">
        <f t="shared" si="72"/>
        <v>8267115</v>
      </c>
      <c r="AP44" s="355">
        <f t="shared" si="72"/>
        <v>244290</v>
      </c>
      <c r="AQ44" s="355">
        <f t="shared" si="72"/>
        <v>0</v>
      </c>
      <c r="AR44" s="253">
        <f t="shared" si="72"/>
        <v>35.375600000000006</v>
      </c>
    </row>
    <row r="45" spans="1:44" ht="12.95" customHeight="1" x14ac:dyDescent="0.25">
      <c r="A45" s="205">
        <v>9</v>
      </c>
      <c r="B45" s="246">
        <v>5446</v>
      </c>
      <c r="C45" s="259">
        <v>600099393</v>
      </c>
      <c r="D45" s="206">
        <v>856096</v>
      </c>
      <c r="E45" s="248" t="s">
        <v>351</v>
      </c>
      <c r="F45" s="206">
        <v>3231</v>
      </c>
      <c r="G45" s="248" t="s">
        <v>281</v>
      </c>
      <c r="H45" s="209" t="s">
        <v>262</v>
      </c>
      <c r="I45" s="627">
        <f>SUM(J45:M45)</f>
        <v>23388218</v>
      </c>
      <c r="J45" s="559">
        <v>17350310</v>
      </c>
      <c r="K45" s="431">
        <f>ROUND(J45*33.8%,0)</f>
        <v>5864405</v>
      </c>
      <c r="L45" s="431">
        <f>ROUND(J45*1%,0)</f>
        <v>173503</v>
      </c>
      <c r="M45" s="325">
        <v>0</v>
      </c>
      <c r="N45" s="751">
        <v>25.989799999999999</v>
      </c>
      <c r="O45" s="327">
        <f>V45*-1</f>
        <v>-50400</v>
      </c>
      <c r="P45" s="492">
        <v>0</v>
      </c>
      <c r="Q45" s="325">
        <v>0</v>
      </c>
      <c r="R45" s="325">
        <v>0</v>
      </c>
      <c r="S45" s="325">
        <v>0</v>
      </c>
      <c r="T45" s="325">
        <v>0</v>
      </c>
      <c r="U45" s="492">
        <f>O45+P45+Q45+R45+S45+T45</f>
        <v>-50400</v>
      </c>
      <c r="V45" s="325">
        <v>50400</v>
      </c>
      <c r="W45" s="325">
        <v>0</v>
      </c>
      <c r="X45" s="325">
        <v>0</v>
      </c>
      <c r="Y45" s="492">
        <f>V45+W45+X45</f>
        <v>50400</v>
      </c>
      <c r="Z45" s="492">
        <f>U45+Y45</f>
        <v>0</v>
      </c>
      <c r="AA45" s="494">
        <f>ROUND((U45+Y45)*33.8%,0)</f>
        <v>0</v>
      </c>
      <c r="AB45" s="494">
        <f>ROUND(U45*1%,0)</f>
        <v>-504</v>
      </c>
      <c r="AC45" s="492">
        <v>0</v>
      </c>
      <c r="AD45" s="789">
        <f>Z45+AA45+AB45+AC45</f>
        <v>-504</v>
      </c>
      <c r="AE45" s="715">
        <v>-0.06</v>
      </c>
      <c r="AF45" s="491">
        <v>0</v>
      </c>
      <c r="AG45" s="326">
        <v>0</v>
      </c>
      <c r="AH45" s="326">
        <v>0</v>
      </c>
      <c r="AI45" s="326">
        <v>0</v>
      </c>
      <c r="AJ45" s="326">
        <v>0</v>
      </c>
      <c r="AK45" s="626">
        <f>SUM(AE45:AJ45)</f>
        <v>-0.06</v>
      </c>
      <c r="AL45" s="696">
        <f>I45+AD45</f>
        <v>23387714</v>
      </c>
      <c r="AM45" s="492">
        <f>J45+U45</f>
        <v>17299910</v>
      </c>
      <c r="AN45" s="492">
        <f>Y45</f>
        <v>50400</v>
      </c>
      <c r="AO45" s="492">
        <f>K45+AA45</f>
        <v>5864405</v>
      </c>
      <c r="AP45" s="492">
        <f>L45+AB45</f>
        <v>172999</v>
      </c>
      <c r="AQ45" s="492">
        <f>M45+AC45</f>
        <v>0</v>
      </c>
      <c r="AR45" s="626">
        <f>N45+AK45</f>
        <v>25.9298</v>
      </c>
    </row>
    <row r="46" spans="1:44" ht="12.95" customHeight="1" x14ac:dyDescent="0.25">
      <c r="A46" s="249">
        <v>9</v>
      </c>
      <c r="B46" s="250">
        <v>5446</v>
      </c>
      <c r="C46" s="251">
        <v>600099393</v>
      </c>
      <c r="D46" s="250">
        <v>856096</v>
      </c>
      <c r="E46" s="252" t="s">
        <v>352</v>
      </c>
      <c r="F46" s="216"/>
      <c r="G46" s="254"/>
      <c r="H46" s="217"/>
      <c r="I46" s="686">
        <f t="shared" ref="I46:AR46" si="74">SUM(I45)</f>
        <v>23388218</v>
      </c>
      <c r="J46" s="355">
        <f t="shared" si="74"/>
        <v>17350310</v>
      </c>
      <c r="K46" s="355">
        <f t="shared" si="74"/>
        <v>5864405</v>
      </c>
      <c r="L46" s="355">
        <f t="shared" si="74"/>
        <v>173503</v>
      </c>
      <c r="M46" s="355">
        <f t="shared" ref="M46" si="75">SUM(M45)</f>
        <v>0</v>
      </c>
      <c r="N46" s="816">
        <f t="shared" si="74"/>
        <v>25.989799999999999</v>
      </c>
      <c r="O46" s="686">
        <f t="shared" si="74"/>
        <v>-50400</v>
      </c>
      <c r="P46" s="355">
        <f t="shared" si="74"/>
        <v>0</v>
      </c>
      <c r="Q46" s="355">
        <f t="shared" si="74"/>
        <v>0</v>
      </c>
      <c r="R46" s="355">
        <f t="shared" si="74"/>
        <v>0</v>
      </c>
      <c r="S46" s="355">
        <f t="shared" si="74"/>
        <v>0</v>
      </c>
      <c r="T46" s="355">
        <f t="shared" si="74"/>
        <v>0</v>
      </c>
      <c r="U46" s="355">
        <f t="shared" si="74"/>
        <v>-50400</v>
      </c>
      <c r="V46" s="355">
        <f t="shared" si="74"/>
        <v>50400</v>
      </c>
      <c r="W46" s="355">
        <f t="shared" si="74"/>
        <v>0</v>
      </c>
      <c r="X46" s="355">
        <f t="shared" si="74"/>
        <v>0</v>
      </c>
      <c r="Y46" s="355">
        <f t="shared" si="74"/>
        <v>50400</v>
      </c>
      <c r="Z46" s="355">
        <f t="shared" si="74"/>
        <v>0</v>
      </c>
      <c r="AA46" s="355">
        <f t="shared" si="74"/>
        <v>0</v>
      </c>
      <c r="AB46" s="355">
        <f t="shared" si="74"/>
        <v>-504</v>
      </c>
      <c r="AC46" s="355">
        <f t="shared" si="74"/>
        <v>0</v>
      </c>
      <c r="AD46" s="683">
        <f t="shared" si="74"/>
        <v>-504</v>
      </c>
      <c r="AE46" s="829">
        <v>-0.06</v>
      </c>
      <c r="AF46" s="356">
        <f t="shared" si="74"/>
        <v>0</v>
      </c>
      <c r="AG46" s="356">
        <f t="shared" si="74"/>
        <v>0</v>
      </c>
      <c r="AH46" s="356">
        <f t="shared" si="74"/>
        <v>0</v>
      </c>
      <c r="AI46" s="356">
        <f t="shared" si="74"/>
        <v>0</v>
      </c>
      <c r="AJ46" s="356">
        <f t="shared" si="74"/>
        <v>0</v>
      </c>
      <c r="AK46" s="253">
        <f t="shared" si="74"/>
        <v>-0.06</v>
      </c>
      <c r="AL46" s="686">
        <f t="shared" si="74"/>
        <v>23387714</v>
      </c>
      <c r="AM46" s="355">
        <f t="shared" si="74"/>
        <v>17299910</v>
      </c>
      <c r="AN46" s="355">
        <f t="shared" si="74"/>
        <v>50400</v>
      </c>
      <c r="AO46" s="355">
        <f t="shared" si="74"/>
        <v>5864405</v>
      </c>
      <c r="AP46" s="355">
        <f t="shared" si="74"/>
        <v>172999</v>
      </c>
      <c r="AQ46" s="355">
        <f t="shared" si="74"/>
        <v>0</v>
      </c>
      <c r="AR46" s="253">
        <f t="shared" si="74"/>
        <v>25.9298</v>
      </c>
    </row>
    <row r="47" spans="1:44" ht="12.95" customHeight="1" x14ac:dyDescent="0.25">
      <c r="A47" s="205">
        <v>10</v>
      </c>
      <c r="B47" s="246">
        <v>5403</v>
      </c>
      <c r="C47" s="247">
        <v>600098966</v>
      </c>
      <c r="D47" s="206">
        <v>75016931</v>
      </c>
      <c r="E47" s="248" t="s">
        <v>353</v>
      </c>
      <c r="F47" s="206">
        <v>3111</v>
      </c>
      <c r="G47" s="248" t="s">
        <v>290</v>
      </c>
      <c r="H47" s="209" t="s">
        <v>262</v>
      </c>
      <c r="I47" s="627">
        <f t="shared" ref="I47:I50" si="76">SUM(J47:M47)</f>
        <v>3044524</v>
      </c>
      <c r="J47" s="559">
        <v>2258548</v>
      </c>
      <c r="K47" s="431">
        <f>ROUND(J47*33.8%,0)+1</f>
        <v>763390</v>
      </c>
      <c r="L47" s="431">
        <f>ROUND(J47*1%,0)+1</f>
        <v>22586</v>
      </c>
      <c r="M47" s="325">
        <v>0</v>
      </c>
      <c r="N47" s="751">
        <v>3.9355000000000002</v>
      </c>
      <c r="O47" s="327">
        <f t="shared" ref="O47:O50" si="77">V47*-1</f>
        <v>0</v>
      </c>
      <c r="P47" s="492">
        <v>0</v>
      </c>
      <c r="Q47" s="325">
        <v>0</v>
      </c>
      <c r="R47" s="325">
        <v>0</v>
      </c>
      <c r="S47" s="325">
        <v>0</v>
      </c>
      <c r="T47" s="325">
        <v>0</v>
      </c>
      <c r="U47" s="492">
        <f>O47+P47+Q47+R47+S47+T47</f>
        <v>0</v>
      </c>
      <c r="V47" s="325">
        <v>0</v>
      </c>
      <c r="W47" s="325">
        <v>0</v>
      </c>
      <c r="X47" s="325">
        <v>0</v>
      </c>
      <c r="Y47" s="492">
        <f t="shared" ref="Y47:Y50" si="78">V47+W47+X47</f>
        <v>0</v>
      </c>
      <c r="Z47" s="492">
        <f t="shared" ref="Z47:Z50" si="79">U47+Y47</f>
        <v>0</v>
      </c>
      <c r="AA47" s="494">
        <f t="shared" ref="AA47:AA50" si="80">ROUND((U47+Y47)*33.8%,0)</f>
        <v>0</v>
      </c>
      <c r="AB47" s="494">
        <f t="shared" ref="AB47:AB50" si="81">ROUND(U47*1%,0)</f>
        <v>0</v>
      </c>
      <c r="AC47" s="492">
        <v>0</v>
      </c>
      <c r="AD47" s="789">
        <f t="shared" ref="AD47:AD50" si="82">Z47+AA47+AB47+AC47</f>
        <v>0</v>
      </c>
      <c r="AE47" s="715">
        <v>0</v>
      </c>
      <c r="AF47" s="491">
        <v>0</v>
      </c>
      <c r="AG47" s="326">
        <v>0</v>
      </c>
      <c r="AH47" s="326">
        <v>0</v>
      </c>
      <c r="AI47" s="326">
        <v>0</v>
      </c>
      <c r="AJ47" s="326">
        <v>0</v>
      </c>
      <c r="AK47" s="626">
        <f>SUM(AE47:AJ47)</f>
        <v>0</v>
      </c>
      <c r="AL47" s="696">
        <f>I47+AD47</f>
        <v>3044524</v>
      </c>
      <c r="AM47" s="492">
        <f>J47+U47</f>
        <v>2258548</v>
      </c>
      <c r="AN47" s="492">
        <f>Y47</f>
        <v>0</v>
      </c>
      <c r="AO47" s="492">
        <f t="shared" ref="AO47:AQ50" si="83">K47+AA47</f>
        <v>763390</v>
      </c>
      <c r="AP47" s="492">
        <f t="shared" si="83"/>
        <v>22586</v>
      </c>
      <c r="AQ47" s="492">
        <f t="shared" si="83"/>
        <v>0</v>
      </c>
      <c r="AR47" s="626">
        <f>N47+AK47</f>
        <v>3.9355000000000002</v>
      </c>
    </row>
    <row r="48" spans="1:44" ht="12.95" customHeight="1" x14ac:dyDescent="0.25">
      <c r="A48" s="205">
        <v>10</v>
      </c>
      <c r="B48" s="246">
        <v>5403</v>
      </c>
      <c r="C48" s="247">
        <v>600098966</v>
      </c>
      <c r="D48" s="206">
        <v>75016931</v>
      </c>
      <c r="E48" s="248" t="s">
        <v>353</v>
      </c>
      <c r="F48" s="206">
        <v>3117</v>
      </c>
      <c r="G48" s="248" t="s">
        <v>280</v>
      </c>
      <c r="H48" s="209" t="s">
        <v>262</v>
      </c>
      <c r="I48" s="586">
        <f t="shared" si="76"/>
        <v>3442565</v>
      </c>
      <c r="J48" s="490">
        <v>2553832</v>
      </c>
      <c r="K48" s="431">
        <f t="shared" ref="K48:K50" si="84">ROUND(J48*33.8%,0)</f>
        <v>863195</v>
      </c>
      <c r="L48" s="431">
        <f t="shared" ref="L48:L50" si="85">ROUND(J48*1%,0)</f>
        <v>25538</v>
      </c>
      <c r="M48" s="325">
        <v>0</v>
      </c>
      <c r="N48" s="752">
        <v>4</v>
      </c>
      <c r="O48" s="327">
        <f t="shared" si="77"/>
        <v>-12000</v>
      </c>
      <c r="P48" s="492">
        <v>0</v>
      </c>
      <c r="Q48" s="325">
        <v>0</v>
      </c>
      <c r="R48" s="325">
        <v>0</v>
      </c>
      <c r="S48" s="325">
        <v>0</v>
      </c>
      <c r="T48" s="325">
        <v>0</v>
      </c>
      <c r="U48" s="492">
        <f>O48+P48+Q48+R48+S48+T48</f>
        <v>-12000</v>
      </c>
      <c r="V48" s="325">
        <v>12000</v>
      </c>
      <c r="W48" s="325">
        <v>0</v>
      </c>
      <c r="X48" s="325">
        <v>0</v>
      </c>
      <c r="Y48" s="492">
        <f t="shared" si="78"/>
        <v>12000</v>
      </c>
      <c r="Z48" s="492">
        <f t="shared" si="79"/>
        <v>0</v>
      </c>
      <c r="AA48" s="494">
        <f t="shared" si="80"/>
        <v>0</v>
      </c>
      <c r="AB48" s="494">
        <f t="shared" si="81"/>
        <v>-120</v>
      </c>
      <c r="AC48" s="492">
        <v>0</v>
      </c>
      <c r="AD48" s="789">
        <f t="shared" si="82"/>
        <v>-120</v>
      </c>
      <c r="AE48" s="715">
        <v>-0.02</v>
      </c>
      <c r="AF48" s="491">
        <v>0</v>
      </c>
      <c r="AG48" s="326">
        <v>0</v>
      </c>
      <c r="AH48" s="326">
        <v>0</v>
      </c>
      <c r="AI48" s="326">
        <v>0</v>
      </c>
      <c r="AJ48" s="326">
        <v>0</v>
      </c>
      <c r="AK48" s="626">
        <f>SUM(AE48:AJ48)</f>
        <v>-0.02</v>
      </c>
      <c r="AL48" s="696">
        <f>I48+AD48</f>
        <v>3442445</v>
      </c>
      <c r="AM48" s="492">
        <f>J48+U48</f>
        <v>2541832</v>
      </c>
      <c r="AN48" s="492">
        <f>Y48</f>
        <v>12000</v>
      </c>
      <c r="AO48" s="492">
        <f t="shared" si="83"/>
        <v>863195</v>
      </c>
      <c r="AP48" s="492">
        <f t="shared" si="83"/>
        <v>25418</v>
      </c>
      <c r="AQ48" s="492">
        <f t="shared" si="83"/>
        <v>0</v>
      </c>
      <c r="AR48" s="626">
        <f>N48+AK48</f>
        <v>3.98</v>
      </c>
    </row>
    <row r="49" spans="1:46" ht="12.95" customHeight="1" x14ac:dyDescent="0.25">
      <c r="A49" s="205">
        <v>10</v>
      </c>
      <c r="B49" s="246">
        <v>5403</v>
      </c>
      <c r="C49" s="247">
        <v>600098966</v>
      </c>
      <c r="D49" s="206">
        <v>75016931</v>
      </c>
      <c r="E49" s="248" t="s">
        <v>353</v>
      </c>
      <c r="F49" s="206">
        <v>3117</v>
      </c>
      <c r="G49" s="248" t="s">
        <v>284</v>
      </c>
      <c r="H49" s="209" t="s">
        <v>263</v>
      </c>
      <c r="I49" s="586">
        <f t="shared" si="76"/>
        <v>0</v>
      </c>
      <c r="J49" s="490"/>
      <c r="K49" s="431">
        <f t="shared" si="84"/>
        <v>0</v>
      </c>
      <c r="L49" s="431">
        <f t="shared" si="85"/>
        <v>0</v>
      </c>
      <c r="M49" s="325">
        <v>0</v>
      </c>
      <c r="N49" s="752"/>
      <c r="O49" s="327">
        <f t="shared" si="77"/>
        <v>0</v>
      </c>
      <c r="P49" s="492">
        <v>436836</v>
      </c>
      <c r="Q49" s="325">
        <v>0</v>
      </c>
      <c r="R49" s="325">
        <v>0</v>
      </c>
      <c r="S49" s="325">
        <v>0</v>
      </c>
      <c r="T49" s="325">
        <v>0</v>
      </c>
      <c r="U49" s="492">
        <f>O49+P49+Q49+R49+S49+T49</f>
        <v>436836</v>
      </c>
      <c r="V49" s="325">
        <v>0</v>
      </c>
      <c r="W49" s="325">
        <v>0</v>
      </c>
      <c r="X49" s="325">
        <v>0</v>
      </c>
      <c r="Y49" s="492">
        <f t="shared" si="78"/>
        <v>0</v>
      </c>
      <c r="Z49" s="492">
        <f t="shared" si="79"/>
        <v>436836</v>
      </c>
      <c r="AA49" s="494">
        <f t="shared" si="80"/>
        <v>147651</v>
      </c>
      <c r="AB49" s="494">
        <f t="shared" si="81"/>
        <v>4368</v>
      </c>
      <c r="AC49" s="492">
        <v>0</v>
      </c>
      <c r="AD49" s="789">
        <f t="shared" si="82"/>
        <v>588855</v>
      </c>
      <c r="AE49" s="715">
        <v>0</v>
      </c>
      <c r="AF49" s="491">
        <v>0.95</v>
      </c>
      <c r="AG49" s="326">
        <v>0</v>
      </c>
      <c r="AH49" s="326">
        <v>0</v>
      </c>
      <c r="AI49" s="326">
        <v>0</v>
      </c>
      <c r="AJ49" s="326">
        <v>0</v>
      </c>
      <c r="AK49" s="626">
        <f>SUM(AE49:AJ49)</f>
        <v>0.95</v>
      </c>
      <c r="AL49" s="696">
        <f>I49+AD49</f>
        <v>588855</v>
      </c>
      <c r="AM49" s="492">
        <f>J49+U49</f>
        <v>436836</v>
      </c>
      <c r="AN49" s="492">
        <f>Y49</f>
        <v>0</v>
      </c>
      <c r="AO49" s="492">
        <f t="shared" si="83"/>
        <v>147651</v>
      </c>
      <c r="AP49" s="492">
        <f t="shared" si="83"/>
        <v>4368</v>
      </c>
      <c r="AQ49" s="492">
        <f t="shared" si="83"/>
        <v>0</v>
      </c>
      <c r="AR49" s="626">
        <f>N49+AK49</f>
        <v>0.95</v>
      </c>
    </row>
    <row r="50" spans="1:46" ht="12.95" customHeight="1" x14ac:dyDescent="0.25">
      <c r="A50" s="205">
        <v>10</v>
      </c>
      <c r="B50" s="246">
        <v>5403</v>
      </c>
      <c r="C50" s="247">
        <v>600098966</v>
      </c>
      <c r="D50" s="206">
        <v>75016931</v>
      </c>
      <c r="E50" s="248" t="s">
        <v>353</v>
      </c>
      <c r="F50" s="206">
        <v>3143</v>
      </c>
      <c r="G50" s="248" t="s">
        <v>794</v>
      </c>
      <c r="H50" s="209" t="s">
        <v>262</v>
      </c>
      <c r="I50" s="586">
        <f t="shared" si="76"/>
        <v>696968</v>
      </c>
      <c r="J50" s="490">
        <v>517039</v>
      </c>
      <c r="K50" s="431">
        <f t="shared" si="84"/>
        <v>174759</v>
      </c>
      <c r="L50" s="431">
        <f t="shared" si="85"/>
        <v>5170</v>
      </c>
      <c r="M50" s="325">
        <v>0</v>
      </c>
      <c r="N50" s="752">
        <v>1</v>
      </c>
      <c r="O50" s="327">
        <f t="shared" si="77"/>
        <v>0</v>
      </c>
      <c r="P50" s="492">
        <v>0</v>
      </c>
      <c r="Q50" s="325">
        <v>0</v>
      </c>
      <c r="R50" s="325">
        <v>0</v>
      </c>
      <c r="S50" s="325">
        <v>0</v>
      </c>
      <c r="T50" s="325">
        <v>0</v>
      </c>
      <c r="U50" s="492">
        <f>O50+P50+Q50+R50+S50+T50</f>
        <v>0</v>
      </c>
      <c r="V50" s="325">
        <v>0</v>
      </c>
      <c r="W50" s="325">
        <v>0</v>
      </c>
      <c r="X50" s="325">
        <v>0</v>
      </c>
      <c r="Y50" s="492">
        <f t="shared" si="78"/>
        <v>0</v>
      </c>
      <c r="Z50" s="492">
        <f t="shared" si="79"/>
        <v>0</v>
      </c>
      <c r="AA50" s="494">
        <f t="shared" si="80"/>
        <v>0</v>
      </c>
      <c r="AB50" s="494">
        <f t="shared" si="81"/>
        <v>0</v>
      </c>
      <c r="AC50" s="492">
        <v>0</v>
      </c>
      <c r="AD50" s="789">
        <f t="shared" si="82"/>
        <v>0</v>
      </c>
      <c r="AE50" s="715">
        <v>0</v>
      </c>
      <c r="AF50" s="491">
        <v>0</v>
      </c>
      <c r="AG50" s="326">
        <v>0</v>
      </c>
      <c r="AH50" s="326">
        <v>0</v>
      </c>
      <c r="AI50" s="326">
        <v>0</v>
      </c>
      <c r="AJ50" s="326">
        <v>0</v>
      </c>
      <c r="AK50" s="626">
        <f>SUM(AE50:AJ50)</f>
        <v>0</v>
      </c>
      <c r="AL50" s="696">
        <f>I50+AD50</f>
        <v>696968</v>
      </c>
      <c r="AM50" s="492">
        <f>J50+U50</f>
        <v>517039</v>
      </c>
      <c r="AN50" s="492">
        <f>Y50</f>
        <v>0</v>
      </c>
      <c r="AO50" s="492">
        <f t="shared" si="83"/>
        <v>174759</v>
      </c>
      <c r="AP50" s="492">
        <f t="shared" si="83"/>
        <v>5170</v>
      </c>
      <c r="AQ50" s="492">
        <f t="shared" si="83"/>
        <v>0</v>
      </c>
      <c r="AR50" s="626">
        <f>N50+AK50</f>
        <v>1</v>
      </c>
    </row>
    <row r="51" spans="1:46" ht="12.95" customHeight="1" x14ac:dyDescent="0.25">
      <c r="A51" s="249">
        <v>10</v>
      </c>
      <c r="B51" s="250">
        <v>5403</v>
      </c>
      <c r="C51" s="251">
        <v>600098966</v>
      </c>
      <c r="D51" s="250">
        <v>75016931</v>
      </c>
      <c r="E51" s="252" t="s">
        <v>354</v>
      </c>
      <c r="F51" s="216"/>
      <c r="G51" s="254"/>
      <c r="H51" s="217"/>
      <c r="I51" s="686">
        <f t="shared" ref="I51:AR51" si="86">SUM(I47:I50)</f>
        <v>7184057</v>
      </c>
      <c r="J51" s="355">
        <f t="shared" si="86"/>
        <v>5329419</v>
      </c>
      <c r="K51" s="355">
        <f t="shared" si="86"/>
        <v>1801344</v>
      </c>
      <c r="L51" s="355">
        <f t="shared" si="86"/>
        <v>53294</v>
      </c>
      <c r="M51" s="355">
        <f t="shared" ref="M51" si="87">SUM(M47:M50)</f>
        <v>0</v>
      </c>
      <c r="N51" s="816">
        <f t="shared" si="86"/>
        <v>8.9355000000000011</v>
      </c>
      <c r="O51" s="686">
        <f t="shared" si="86"/>
        <v>-12000</v>
      </c>
      <c r="P51" s="355">
        <f t="shared" si="86"/>
        <v>436836</v>
      </c>
      <c r="Q51" s="355">
        <f t="shared" si="86"/>
        <v>0</v>
      </c>
      <c r="R51" s="355">
        <f t="shared" si="86"/>
        <v>0</v>
      </c>
      <c r="S51" s="355">
        <f t="shared" si="86"/>
        <v>0</v>
      </c>
      <c r="T51" s="355">
        <f t="shared" si="86"/>
        <v>0</v>
      </c>
      <c r="U51" s="355">
        <f t="shared" si="86"/>
        <v>424836</v>
      </c>
      <c r="V51" s="355">
        <f t="shared" si="86"/>
        <v>12000</v>
      </c>
      <c r="W51" s="355">
        <f t="shared" si="86"/>
        <v>0</v>
      </c>
      <c r="X51" s="355">
        <f t="shared" si="86"/>
        <v>0</v>
      </c>
      <c r="Y51" s="355">
        <f t="shared" si="86"/>
        <v>12000</v>
      </c>
      <c r="Z51" s="355">
        <f t="shared" si="86"/>
        <v>436836</v>
      </c>
      <c r="AA51" s="355">
        <f t="shared" si="86"/>
        <v>147651</v>
      </c>
      <c r="AB51" s="355">
        <f t="shared" si="86"/>
        <v>4248</v>
      </c>
      <c r="AC51" s="355">
        <f t="shared" si="86"/>
        <v>0</v>
      </c>
      <c r="AD51" s="683">
        <f t="shared" si="86"/>
        <v>588735</v>
      </c>
      <c r="AE51" s="829">
        <v>-0.02</v>
      </c>
      <c r="AF51" s="356">
        <f t="shared" si="86"/>
        <v>0.95</v>
      </c>
      <c r="AG51" s="356">
        <f t="shared" si="86"/>
        <v>0</v>
      </c>
      <c r="AH51" s="356">
        <f t="shared" si="86"/>
        <v>0</v>
      </c>
      <c r="AI51" s="356">
        <f t="shared" si="86"/>
        <v>0</v>
      </c>
      <c r="AJ51" s="356">
        <f t="shared" si="86"/>
        <v>0</v>
      </c>
      <c r="AK51" s="253">
        <f t="shared" si="86"/>
        <v>0.92999999999999994</v>
      </c>
      <c r="AL51" s="686">
        <f t="shared" si="86"/>
        <v>7772792</v>
      </c>
      <c r="AM51" s="355">
        <f t="shared" si="86"/>
        <v>5754255</v>
      </c>
      <c r="AN51" s="355">
        <f t="shared" si="86"/>
        <v>12000</v>
      </c>
      <c r="AO51" s="355">
        <f t="shared" si="86"/>
        <v>1948995</v>
      </c>
      <c r="AP51" s="355">
        <f t="shared" si="86"/>
        <v>57542</v>
      </c>
      <c r="AQ51" s="355">
        <f t="shared" si="86"/>
        <v>0</v>
      </c>
      <c r="AR51" s="253">
        <f t="shared" si="86"/>
        <v>9.865499999999999</v>
      </c>
    </row>
    <row r="52" spans="1:46" ht="12.95" customHeight="1" x14ac:dyDescent="0.25">
      <c r="A52" s="205">
        <v>11</v>
      </c>
      <c r="B52" s="246">
        <v>5404</v>
      </c>
      <c r="C52" s="247">
        <v>600098974</v>
      </c>
      <c r="D52" s="206">
        <v>70979812</v>
      </c>
      <c r="E52" s="248" t="s">
        <v>355</v>
      </c>
      <c r="F52" s="206">
        <v>3111</v>
      </c>
      <c r="G52" s="248" t="s">
        <v>290</v>
      </c>
      <c r="H52" s="209" t="s">
        <v>262</v>
      </c>
      <c r="I52" s="627">
        <f t="shared" ref="I52:I55" si="88">SUM(J52:M52)</f>
        <v>2196642</v>
      </c>
      <c r="J52" s="559">
        <v>1629557</v>
      </c>
      <c r="K52" s="431">
        <f t="shared" ref="K52:K55" si="89">ROUND(J52*33.8%,0)</f>
        <v>550790</v>
      </c>
      <c r="L52" s="431">
        <f>ROUND(J52*1%,0)-1</f>
        <v>16295</v>
      </c>
      <c r="M52" s="325">
        <v>0</v>
      </c>
      <c r="N52" s="751">
        <v>2.3065000000000002</v>
      </c>
      <c r="O52" s="327">
        <f t="shared" ref="O52:O55" si="90">V52*-1</f>
        <v>0</v>
      </c>
      <c r="P52" s="492">
        <v>0</v>
      </c>
      <c r="Q52" s="325">
        <v>0</v>
      </c>
      <c r="R52" s="325">
        <v>0</v>
      </c>
      <c r="S52" s="325">
        <v>0</v>
      </c>
      <c r="T52" s="325">
        <v>0</v>
      </c>
      <c r="U52" s="492">
        <f>O52+P52+Q52+R52+S52+T52</f>
        <v>0</v>
      </c>
      <c r="V52" s="325">
        <v>0</v>
      </c>
      <c r="W52" s="325">
        <v>0</v>
      </c>
      <c r="X52" s="325">
        <v>0</v>
      </c>
      <c r="Y52" s="492">
        <f t="shared" ref="Y52:Y55" si="91">V52+W52+X52</f>
        <v>0</v>
      </c>
      <c r="Z52" s="492">
        <f t="shared" ref="Z52:Z55" si="92">U52+Y52</f>
        <v>0</v>
      </c>
      <c r="AA52" s="494">
        <f t="shared" ref="AA52:AA55" si="93">ROUND((U52+Y52)*33.8%,0)</f>
        <v>0</v>
      </c>
      <c r="AB52" s="494">
        <f t="shared" ref="AB52:AB55" si="94">ROUND(U52*1%,0)</f>
        <v>0</v>
      </c>
      <c r="AC52" s="492">
        <v>0</v>
      </c>
      <c r="AD52" s="789">
        <f t="shared" ref="AD52:AD55" si="95">Z52+AA52+AB52+AC52</f>
        <v>0</v>
      </c>
      <c r="AE52" s="715">
        <v>0</v>
      </c>
      <c r="AF52" s="491">
        <v>0</v>
      </c>
      <c r="AG52" s="326">
        <v>0</v>
      </c>
      <c r="AH52" s="326">
        <v>0</v>
      </c>
      <c r="AI52" s="326">
        <v>0</v>
      </c>
      <c r="AJ52" s="326">
        <v>0</v>
      </c>
      <c r="AK52" s="626">
        <f>SUM(AE52:AJ52)</f>
        <v>0</v>
      </c>
      <c r="AL52" s="696">
        <f>I52+AD52</f>
        <v>2196642</v>
      </c>
      <c r="AM52" s="492">
        <f>J52+U52</f>
        <v>1629557</v>
      </c>
      <c r="AN52" s="492">
        <f>Y52</f>
        <v>0</v>
      </c>
      <c r="AO52" s="492">
        <f t="shared" ref="AO52:AQ55" si="96">K52+AA52</f>
        <v>550790</v>
      </c>
      <c r="AP52" s="492">
        <f t="shared" si="96"/>
        <v>16295</v>
      </c>
      <c r="AQ52" s="492">
        <f t="shared" si="96"/>
        <v>0</v>
      </c>
      <c r="AR52" s="626">
        <f>N52+AK52</f>
        <v>2.3065000000000002</v>
      </c>
    </row>
    <row r="53" spans="1:46" ht="12.95" customHeight="1" x14ac:dyDescent="0.25">
      <c r="A53" s="205">
        <v>11</v>
      </c>
      <c r="B53" s="246">
        <v>5404</v>
      </c>
      <c r="C53" s="247">
        <v>600098974</v>
      </c>
      <c r="D53" s="206">
        <v>70979812</v>
      </c>
      <c r="E53" s="248" t="s">
        <v>355</v>
      </c>
      <c r="F53" s="206">
        <v>3117</v>
      </c>
      <c r="G53" s="248" t="s">
        <v>280</v>
      </c>
      <c r="H53" s="209" t="s">
        <v>262</v>
      </c>
      <c r="I53" s="586">
        <f t="shared" si="88"/>
        <v>1873801</v>
      </c>
      <c r="J53" s="490">
        <v>1390060</v>
      </c>
      <c r="K53" s="431">
        <f t="shared" si="89"/>
        <v>469840</v>
      </c>
      <c r="L53" s="431">
        <f t="shared" ref="L53:L55" si="97">ROUND(J53*1%,0)</f>
        <v>13901</v>
      </c>
      <c r="M53" s="325">
        <v>0</v>
      </c>
      <c r="N53" s="752">
        <v>2.2273000000000001</v>
      </c>
      <c r="O53" s="327">
        <f t="shared" si="90"/>
        <v>0</v>
      </c>
      <c r="P53" s="492">
        <v>0</v>
      </c>
      <c r="Q53" s="325">
        <v>0</v>
      </c>
      <c r="R53" s="325">
        <v>0</v>
      </c>
      <c r="S53" s="325">
        <v>0</v>
      </c>
      <c r="T53" s="325">
        <v>0</v>
      </c>
      <c r="U53" s="492">
        <f>O53+P53+Q53+R53+S53+T53</f>
        <v>0</v>
      </c>
      <c r="V53" s="325">
        <v>0</v>
      </c>
      <c r="W53" s="325">
        <v>0</v>
      </c>
      <c r="X53" s="325">
        <v>0</v>
      </c>
      <c r="Y53" s="492">
        <f t="shared" si="91"/>
        <v>0</v>
      </c>
      <c r="Z53" s="492">
        <f t="shared" si="92"/>
        <v>0</v>
      </c>
      <c r="AA53" s="494">
        <f t="shared" si="93"/>
        <v>0</v>
      </c>
      <c r="AB53" s="494">
        <f t="shared" si="94"/>
        <v>0</v>
      </c>
      <c r="AC53" s="492">
        <v>0</v>
      </c>
      <c r="AD53" s="789">
        <f t="shared" si="95"/>
        <v>0</v>
      </c>
      <c r="AE53" s="715">
        <v>0</v>
      </c>
      <c r="AF53" s="491">
        <v>0</v>
      </c>
      <c r="AG53" s="326">
        <v>0</v>
      </c>
      <c r="AH53" s="326">
        <v>0</v>
      </c>
      <c r="AI53" s="326">
        <v>0</v>
      </c>
      <c r="AJ53" s="326">
        <v>0</v>
      </c>
      <c r="AK53" s="626">
        <f>SUM(AE53:AJ53)</f>
        <v>0</v>
      </c>
      <c r="AL53" s="696">
        <f>I53+AD53</f>
        <v>1873801</v>
      </c>
      <c r="AM53" s="492">
        <f>J53+U53</f>
        <v>1390060</v>
      </c>
      <c r="AN53" s="492">
        <f>Y53</f>
        <v>0</v>
      </c>
      <c r="AO53" s="492">
        <f t="shared" si="96"/>
        <v>469840</v>
      </c>
      <c r="AP53" s="492">
        <f t="shared" si="96"/>
        <v>13901</v>
      </c>
      <c r="AQ53" s="492">
        <f t="shared" si="96"/>
        <v>0</v>
      </c>
      <c r="AR53" s="626">
        <f>N53+AK53</f>
        <v>2.2273000000000001</v>
      </c>
    </row>
    <row r="54" spans="1:46" ht="12.95" customHeight="1" x14ac:dyDescent="0.25">
      <c r="A54" s="205">
        <v>11</v>
      </c>
      <c r="B54" s="246">
        <v>5404</v>
      </c>
      <c r="C54" s="247">
        <v>600098974</v>
      </c>
      <c r="D54" s="206">
        <v>70979812</v>
      </c>
      <c r="E54" s="248" t="s">
        <v>355</v>
      </c>
      <c r="F54" s="206">
        <v>3117</v>
      </c>
      <c r="G54" s="248" t="s">
        <v>284</v>
      </c>
      <c r="H54" s="209" t="s">
        <v>263</v>
      </c>
      <c r="I54" s="586">
        <f t="shared" si="88"/>
        <v>0</v>
      </c>
      <c r="J54" s="490"/>
      <c r="K54" s="431">
        <f t="shared" si="89"/>
        <v>0</v>
      </c>
      <c r="L54" s="431">
        <f t="shared" si="97"/>
        <v>0</v>
      </c>
      <c r="M54" s="325">
        <v>0</v>
      </c>
      <c r="N54" s="752"/>
      <c r="O54" s="327">
        <f t="shared" si="90"/>
        <v>0</v>
      </c>
      <c r="P54" s="492">
        <v>387492</v>
      </c>
      <c r="Q54" s="325">
        <v>0</v>
      </c>
      <c r="R54" s="325">
        <v>0</v>
      </c>
      <c r="S54" s="325">
        <v>0</v>
      </c>
      <c r="T54" s="325">
        <v>0</v>
      </c>
      <c r="U54" s="492">
        <f>O54+P54+Q54+R54+S54+T54</f>
        <v>387492</v>
      </c>
      <c r="V54" s="325">
        <v>0</v>
      </c>
      <c r="W54" s="325">
        <v>0</v>
      </c>
      <c r="X54" s="325">
        <v>0</v>
      </c>
      <c r="Y54" s="492">
        <f t="shared" si="91"/>
        <v>0</v>
      </c>
      <c r="Z54" s="492">
        <f t="shared" si="92"/>
        <v>387492</v>
      </c>
      <c r="AA54" s="494">
        <f t="shared" si="93"/>
        <v>130972</v>
      </c>
      <c r="AB54" s="494">
        <f t="shared" si="94"/>
        <v>3875</v>
      </c>
      <c r="AC54" s="492">
        <v>0</v>
      </c>
      <c r="AD54" s="789">
        <f t="shared" si="95"/>
        <v>522339</v>
      </c>
      <c r="AE54" s="715">
        <v>0</v>
      </c>
      <c r="AF54" s="491">
        <v>1.1400000000000001</v>
      </c>
      <c r="AG54" s="326">
        <v>0</v>
      </c>
      <c r="AH54" s="326">
        <v>0</v>
      </c>
      <c r="AI54" s="326">
        <v>0</v>
      </c>
      <c r="AJ54" s="326">
        <v>0</v>
      </c>
      <c r="AK54" s="626">
        <f>SUM(AE54:AJ54)</f>
        <v>1.1400000000000001</v>
      </c>
      <c r="AL54" s="696">
        <f>I54+AD54</f>
        <v>522339</v>
      </c>
      <c r="AM54" s="492">
        <f>J54+U54</f>
        <v>387492</v>
      </c>
      <c r="AN54" s="492">
        <f>Y54</f>
        <v>0</v>
      </c>
      <c r="AO54" s="492">
        <f t="shared" si="96"/>
        <v>130972</v>
      </c>
      <c r="AP54" s="492">
        <f t="shared" si="96"/>
        <v>3875</v>
      </c>
      <c r="AQ54" s="492">
        <f t="shared" si="96"/>
        <v>0</v>
      </c>
      <c r="AR54" s="626">
        <f>N54+AK54</f>
        <v>1.1400000000000001</v>
      </c>
    </row>
    <row r="55" spans="1:46" ht="12.95" customHeight="1" x14ac:dyDescent="0.25">
      <c r="A55" s="205">
        <v>11</v>
      </c>
      <c r="B55" s="246">
        <v>5404</v>
      </c>
      <c r="C55" s="247">
        <v>600098974</v>
      </c>
      <c r="D55" s="206">
        <v>70979812</v>
      </c>
      <c r="E55" s="248" t="s">
        <v>355</v>
      </c>
      <c r="F55" s="206">
        <v>3143</v>
      </c>
      <c r="G55" s="248" t="s">
        <v>794</v>
      </c>
      <c r="H55" s="209" t="s">
        <v>262</v>
      </c>
      <c r="I55" s="586">
        <f t="shared" si="88"/>
        <v>501308</v>
      </c>
      <c r="J55" s="490">
        <v>371890</v>
      </c>
      <c r="K55" s="431">
        <f t="shared" si="89"/>
        <v>125699</v>
      </c>
      <c r="L55" s="431">
        <f t="shared" si="97"/>
        <v>3719</v>
      </c>
      <c r="M55" s="325">
        <v>0</v>
      </c>
      <c r="N55" s="752">
        <v>0.70520000000000005</v>
      </c>
      <c r="O55" s="327">
        <f t="shared" si="90"/>
        <v>0</v>
      </c>
      <c r="P55" s="492">
        <v>0</v>
      </c>
      <c r="Q55" s="325">
        <v>0</v>
      </c>
      <c r="R55" s="325">
        <v>0</v>
      </c>
      <c r="S55" s="325">
        <v>0</v>
      </c>
      <c r="T55" s="325">
        <v>0</v>
      </c>
      <c r="U55" s="492">
        <f>O55+P55+Q55+R55+S55+T55</f>
        <v>0</v>
      </c>
      <c r="V55" s="325">
        <v>0</v>
      </c>
      <c r="W55" s="325">
        <v>0</v>
      </c>
      <c r="X55" s="325">
        <v>0</v>
      </c>
      <c r="Y55" s="492">
        <f t="shared" si="91"/>
        <v>0</v>
      </c>
      <c r="Z55" s="492">
        <f t="shared" si="92"/>
        <v>0</v>
      </c>
      <c r="AA55" s="494">
        <f t="shared" si="93"/>
        <v>0</v>
      </c>
      <c r="AB55" s="494">
        <f t="shared" si="94"/>
        <v>0</v>
      </c>
      <c r="AC55" s="492">
        <v>0</v>
      </c>
      <c r="AD55" s="789">
        <f t="shared" si="95"/>
        <v>0</v>
      </c>
      <c r="AE55" s="715">
        <v>0</v>
      </c>
      <c r="AF55" s="491">
        <v>0</v>
      </c>
      <c r="AG55" s="326">
        <v>0</v>
      </c>
      <c r="AH55" s="326">
        <v>0</v>
      </c>
      <c r="AI55" s="326">
        <v>0</v>
      </c>
      <c r="AJ55" s="326">
        <v>0</v>
      </c>
      <c r="AK55" s="626">
        <f>SUM(AE55:AJ55)</f>
        <v>0</v>
      </c>
      <c r="AL55" s="696">
        <f>I55+AD55</f>
        <v>501308</v>
      </c>
      <c r="AM55" s="492">
        <f>J55+U55</f>
        <v>371890</v>
      </c>
      <c r="AN55" s="492">
        <f>Y55</f>
        <v>0</v>
      </c>
      <c r="AO55" s="492">
        <f t="shared" si="96"/>
        <v>125699</v>
      </c>
      <c r="AP55" s="492">
        <f t="shared" si="96"/>
        <v>3719</v>
      </c>
      <c r="AQ55" s="492">
        <f t="shared" si="96"/>
        <v>0</v>
      </c>
      <c r="AR55" s="626">
        <f>N55+AK55</f>
        <v>0.70520000000000005</v>
      </c>
    </row>
    <row r="56" spans="1:46" ht="12.95" customHeight="1" x14ac:dyDescent="0.25">
      <c r="A56" s="249">
        <v>11</v>
      </c>
      <c r="B56" s="250">
        <v>5404</v>
      </c>
      <c r="C56" s="251">
        <v>600098974</v>
      </c>
      <c r="D56" s="250">
        <v>70979812</v>
      </c>
      <c r="E56" s="252" t="s">
        <v>356</v>
      </c>
      <c r="F56" s="216"/>
      <c r="G56" s="254"/>
      <c r="H56" s="217"/>
      <c r="I56" s="686">
        <f t="shared" ref="I56:AR56" si="98">SUM(I52:I55)</f>
        <v>4571751</v>
      </c>
      <c r="J56" s="355">
        <f t="shared" si="98"/>
        <v>3391507</v>
      </c>
      <c r="K56" s="355">
        <f t="shared" si="98"/>
        <v>1146329</v>
      </c>
      <c r="L56" s="355">
        <f t="shared" si="98"/>
        <v>33915</v>
      </c>
      <c r="M56" s="355">
        <f t="shared" ref="M56" si="99">SUM(M52:M55)</f>
        <v>0</v>
      </c>
      <c r="N56" s="816">
        <f t="shared" si="98"/>
        <v>5.2390000000000008</v>
      </c>
      <c r="O56" s="686">
        <f t="shared" si="98"/>
        <v>0</v>
      </c>
      <c r="P56" s="355">
        <f t="shared" si="98"/>
        <v>387492</v>
      </c>
      <c r="Q56" s="355">
        <f t="shared" si="98"/>
        <v>0</v>
      </c>
      <c r="R56" s="355">
        <f t="shared" si="98"/>
        <v>0</v>
      </c>
      <c r="S56" s="355">
        <f t="shared" si="98"/>
        <v>0</v>
      </c>
      <c r="T56" s="355">
        <f t="shared" si="98"/>
        <v>0</v>
      </c>
      <c r="U56" s="355">
        <f t="shared" si="98"/>
        <v>387492</v>
      </c>
      <c r="V56" s="355">
        <f t="shared" si="98"/>
        <v>0</v>
      </c>
      <c r="W56" s="355">
        <f t="shared" si="98"/>
        <v>0</v>
      </c>
      <c r="X56" s="355">
        <f t="shared" si="98"/>
        <v>0</v>
      </c>
      <c r="Y56" s="355">
        <f t="shared" si="98"/>
        <v>0</v>
      </c>
      <c r="Z56" s="355">
        <f t="shared" si="98"/>
        <v>387492</v>
      </c>
      <c r="AA56" s="355">
        <f t="shared" si="98"/>
        <v>130972</v>
      </c>
      <c r="AB56" s="355">
        <f t="shared" si="98"/>
        <v>3875</v>
      </c>
      <c r="AC56" s="355">
        <f t="shared" si="98"/>
        <v>0</v>
      </c>
      <c r="AD56" s="683">
        <f t="shared" si="98"/>
        <v>522339</v>
      </c>
      <c r="AE56" s="829">
        <v>0</v>
      </c>
      <c r="AF56" s="356">
        <f t="shared" si="98"/>
        <v>1.1400000000000001</v>
      </c>
      <c r="AG56" s="356">
        <f t="shared" si="98"/>
        <v>0</v>
      </c>
      <c r="AH56" s="356">
        <f t="shared" si="98"/>
        <v>0</v>
      </c>
      <c r="AI56" s="356">
        <f t="shared" si="98"/>
        <v>0</v>
      </c>
      <c r="AJ56" s="356">
        <f t="shared" si="98"/>
        <v>0</v>
      </c>
      <c r="AK56" s="253">
        <f t="shared" si="98"/>
        <v>1.1400000000000001</v>
      </c>
      <c r="AL56" s="686">
        <f t="shared" si="98"/>
        <v>5094090</v>
      </c>
      <c r="AM56" s="355">
        <f t="shared" si="98"/>
        <v>3778999</v>
      </c>
      <c r="AN56" s="355">
        <f t="shared" si="98"/>
        <v>0</v>
      </c>
      <c r="AO56" s="355">
        <f t="shared" si="98"/>
        <v>1277301</v>
      </c>
      <c r="AP56" s="355">
        <f t="shared" si="98"/>
        <v>37790</v>
      </c>
      <c r="AQ56" s="355">
        <f t="shared" si="98"/>
        <v>0</v>
      </c>
      <c r="AR56" s="253">
        <f t="shared" si="98"/>
        <v>6.3789999999999996</v>
      </c>
    </row>
    <row r="57" spans="1:46" ht="12.95" customHeight="1" x14ac:dyDescent="0.25">
      <c r="A57" s="205">
        <v>12</v>
      </c>
      <c r="B57" s="246">
        <v>5407</v>
      </c>
      <c r="C57" s="247">
        <v>600099148</v>
      </c>
      <c r="D57" s="206">
        <v>70939403</v>
      </c>
      <c r="E57" s="248" t="s">
        <v>357</v>
      </c>
      <c r="F57" s="206">
        <v>3111</v>
      </c>
      <c r="G57" s="248" t="s">
        <v>290</v>
      </c>
      <c r="H57" s="209" t="s">
        <v>262</v>
      </c>
      <c r="I57" s="627">
        <f t="shared" ref="I57:I60" si="100">SUM(J57:M57)</f>
        <v>2978564</v>
      </c>
      <c r="J57" s="559">
        <v>2209617</v>
      </c>
      <c r="K57" s="431">
        <f t="shared" ref="K57:K60" si="101">ROUND(J57*33.8%,0)</f>
        <v>746851</v>
      </c>
      <c r="L57" s="431">
        <f t="shared" ref="L57:L60" si="102">ROUND(J57*1%,0)</f>
        <v>22096</v>
      </c>
      <c r="M57" s="325">
        <v>0</v>
      </c>
      <c r="N57" s="751">
        <v>3.871</v>
      </c>
      <c r="O57" s="327">
        <f t="shared" ref="O57:O60" si="103">V57*-1</f>
        <v>0</v>
      </c>
      <c r="P57" s="492">
        <v>0</v>
      </c>
      <c r="Q57" s="325">
        <v>0</v>
      </c>
      <c r="R57" s="325">
        <v>0</v>
      </c>
      <c r="S57" s="325">
        <v>0</v>
      </c>
      <c r="T57" s="325">
        <v>0</v>
      </c>
      <c r="U57" s="492">
        <f>O57+P57+Q57+R57+S57+T57</f>
        <v>0</v>
      </c>
      <c r="V57" s="325">
        <v>0</v>
      </c>
      <c r="W57" s="325">
        <v>0</v>
      </c>
      <c r="X57" s="325">
        <v>0</v>
      </c>
      <c r="Y57" s="492">
        <f t="shared" ref="Y57:Y60" si="104">V57+W57+X57</f>
        <v>0</v>
      </c>
      <c r="Z57" s="492">
        <f t="shared" ref="Z57:Z60" si="105">U57+Y57</f>
        <v>0</v>
      </c>
      <c r="AA57" s="494">
        <f t="shared" ref="AA57:AA60" si="106">ROUND((U57+Y57)*33.8%,0)</f>
        <v>0</v>
      </c>
      <c r="AB57" s="494">
        <f t="shared" ref="AB57:AB60" si="107">ROUND(U57*1%,0)</f>
        <v>0</v>
      </c>
      <c r="AC57" s="492">
        <v>0</v>
      </c>
      <c r="AD57" s="789">
        <f t="shared" ref="AD57:AD60" si="108">Z57+AA57+AB57+AC57</f>
        <v>0</v>
      </c>
      <c r="AE57" s="715">
        <v>0</v>
      </c>
      <c r="AF57" s="491">
        <v>0</v>
      </c>
      <c r="AG57" s="326">
        <v>0</v>
      </c>
      <c r="AH57" s="326">
        <v>0</v>
      </c>
      <c r="AI57" s="326">
        <v>0</v>
      </c>
      <c r="AJ57" s="326">
        <v>0</v>
      </c>
      <c r="AK57" s="626">
        <f>SUM(AE57:AJ57)</f>
        <v>0</v>
      </c>
      <c r="AL57" s="696">
        <f>I57+AD57</f>
        <v>2978564</v>
      </c>
      <c r="AM57" s="492">
        <f>J57+U57</f>
        <v>2209617</v>
      </c>
      <c r="AN57" s="492">
        <f>Y57</f>
        <v>0</v>
      </c>
      <c r="AO57" s="492">
        <f t="shared" ref="AO57:AQ60" si="109">K57+AA57</f>
        <v>746851</v>
      </c>
      <c r="AP57" s="492">
        <f t="shared" si="109"/>
        <v>22096</v>
      </c>
      <c r="AQ57" s="492">
        <f t="shared" si="109"/>
        <v>0</v>
      </c>
      <c r="AR57" s="626">
        <f>N57+AK57</f>
        <v>3.871</v>
      </c>
    </row>
    <row r="58" spans="1:46" ht="12.95" customHeight="1" x14ac:dyDescent="0.25">
      <c r="A58" s="205">
        <v>12</v>
      </c>
      <c r="B58" s="246">
        <v>5407</v>
      </c>
      <c r="C58" s="247">
        <v>600099148</v>
      </c>
      <c r="D58" s="206">
        <v>70939403</v>
      </c>
      <c r="E58" s="248" t="s">
        <v>357</v>
      </c>
      <c r="F58" s="206">
        <v>3113</v>
      </c>
      <c r="G58" s="248" t="s">
        <v>294</v>
      </c>
      <c r="H58" s="209" t="s">
        <v>262</v>
      </c>
      <c r="I58" s="586">
        <f t="shared" si="100"/>
        <v>8611259</v>
      </c>
      <c r="J58" s="490">
        <v>6388175</v>
      </c>
      <c r="K58" s="431">
        <f>ROUND(J58*33.8%,0)-1</f>
        <v>2159202</v>
      </c>
      <c r="L58" s="431">
        <f t="shared" si="102"/>
        <v>63882</v>
      </c>
      <c r="M58" s="325">
        <v>0</v>
      </c>
      <c r="N58" s="752">
        <v>9.3762000000000008</v>
      </c>
      <c r="O58" s="327">
        <f t="shared" si="103"/>
        <v>-6000</v>
      </c>
      <c r="P58" s="492">
        <v>0</v>
      </c>
      <c r="Q58" s="325">
        <v>0</v>
      </c>
      <c r="R58" s="325">
        <v>0</v>
      </c>
      <c r="S58" s="325">
        <v>0</v>
      </c>
      <c r="T58" s="325">
        <v>0</v>
      </c>
      <c r="U58" s="492">
        <f>O58+P58+Q58+R58+S58+T58</f>
        <v>-6000</v>
      </c>
      <c r="V58" s="325">
        <v>6000</v>
      </c>
      <c r="W58" s="325">
        <v>0</v>
      </c>
      <c r="X58" s="325">
        <v>0</v>
      </c>
      <c r="Y58" s="492">
        <f t="shared" si="104"/>
        <v>6000</v>
      </c>
      <c r="Z58" s="492">
        <f t="shared" si="105"/>
        <v>0</v>
      </c>
      <c r="AA58" s="494">
        <f t="shared" si="106"/>
        <v>0</v>
      </c>
      <c r="AB58" s="494">
        <f t="shared" si="107"/>
        <v>-60</v>
      </c>
      <c r="AC58" s="492">
        <v>0</v>
      </c>
      <c r="AD58" s="789">
        <f t="shared" si="108"/>
        <v>-60</v>
      </c>
      <c r="AE58" s="715">
        <v>-0.01</v>
      </c>
      <c r="AF58" s="491">
        <v>0</v>
      </c>
      <c r="AG58" s="326">
        <v>0</v>
      </c>
      <c r="AH58" s="326">
        <v>0</v>
      </c>
      <c r="AI58" s="326">
        <v>0</v>
      </c>
      <c r="AJ58" s="326">
        <v>0</v>
      </c>
      <c r="AK58" s="626">
        <f>SUM(AE58:AJ58)</f>
        <v>-0.01</v>
      </c>
      <c r="AL58" s="696">
        <f>I58+AD58</f>
        <v>8611199</v>
      </c>
      <c r="AM58" s="492">
        <f>J58+U58</f>
        <v>6382175</v>
      </c>
      <c r="AN58" s="492">
        <f>Y58</f>
        <v>6000</v>
      </c>
      <c r="AO58" s="492">
        <f t="shared" si="109"/>
        <v>2159202</v>
      </c>
      <c r="AP58" s="492">
        <f t="shared" si="109"/>
        <v>63822</v>
      </c>
      <c r="AQ58" s="492">
        <f t="shared" si="109"/>
        <v>0</v>
      </c>
      <c r="AR58" s="626">
        <f>N58+AK58</f>
        <v>9.366200000000001</v>
      </c>
    </row>
    <row r="59" spans="1:46" ht="12.95" customHeight="1" x14ac:dyDescent="0.25">
      <c r="A59" s="205">
        <v>12</v>
      </c>
      <c r="B59" s="246">
        <v>5407</v>
      </c>
      <c r="C59" s="247">
        <v>600099148</v>
      </c>
      <c r="D59" s="206">
        <v>70939403</v>
      </c>
      <c r="E59" s="248" t="s">
        <v>357</v>
      </c>
      <c r="F59" s="206">
        <v>3113</v>
      </c>
      <c r="G59" s="248" t="s">
        <v>284</v>
      </c>
      <c r="H59" s="209" t="s">
        <v>263</v>
      </c>
      <c r="I59" s="586">
        <f t="shared" si="100"/>
        <v>0</v>
      </c>
      <c r="J59" s="490"/>
      <c r="K59" s="431">
        <f t="shared" si="101"/>
        <v>0</v>
      </c>
      <c r="L59" s="431">
        <f t="shared" si="102"/>
        <v>0</v>
      </c>
      <c r="M59" s="325">
        <v>0</v>
      </c>
      <c r="N59" s="752"/>
      <c r="O59" s="327">
        <f t="shared" si="103"/>
        <v>0</v>
      </c>
      <c r="P59" s="492">
        <v>1208581</v>
      </c>
      <c r="Q59" s="325">
        <v>0</v>
      </c>
      <c r="R59" s="325">
        <v>0</v>
      </c>
      <c r="S59" s="325">
        <v>0</v>
      </c>
      <c r="T59" s="325">
        <v>0</v>
      </c>
      <c r="U59" s="492">
        <f>O59+P59+Q59+R59+S59+T59</f>
        <v>1208581</v>
      </c>
      <c r="V59" s="325">
        <v>0</v>
      </c>
      <c r="W59" s="325">
        <v>0</v>
      </c>
      <c r="X59" s="325">
        <v>0</v>
      </c>
      <c r="Y59" s="492">
        <f t="shared" si="104"/>
        <v>0</v>
      </c>
      <c r="Z59" s="492">
        <f t="shared" si="105"/>
        <v>1208581</v>
      </c>
      <c r="AA59" s="494">
        <f t="shared" si="106"/>
        <v>408500</v>
      </c>
      <c r="AB59" s="494">
        <f t="shared" si="107"/>
        <v>12086</v>
      </c>
      <c r="AC59" s="492">
        <v>0</v>
      </c>
      <c r="AD59" s="789">
        <f t="shared" si="108"/>
        <v>1629167</v>
      </c>
      <c r="AE59" s="715">
        <v>0</v>
      </c>
      <c r="AF59" s="491">
        <v>2.7399999999999998</v>
      </c>
      <c r="AG59" s="326">
        <v>0</v>
      </c>
      <c r="AH59" s="326">
        <v>0</v>
      </c>
      <c r="AI59" s="326">
        <v>0</v>
      </c>
      <c r="AJ59" s="326">
        <v>0</v>
      </c>
      <c r="AK59" s="626">
        <f>SUM(AE59:AJ59)</f>
        <v>2.7399999999999998</v>
      </c>
      <c r="AL59" s="696">
        <f>I59+AD59</f>
        <v>1629167</v>
      </c>
      <c r="AM59" s="492">
        <f>J59+U59</f>
        <v>1208581</v>
      </c>
      <c r="AN59" s="492">
        <f>Y59</f>
        <v>0</v>
      </c>
      <c r="AO59" s="492">
        <f t="shared" si="109"/>
        <v>408500</v>
      </c>
      <c r="AP59" s="492">
        <f t="shared" si="109"/>
        <v>12086</v>
      </c>
      <c r="AQ59" s="492">
        <f t="shared" si="109"/>
        <v>0</v>
      </c>
      <c r="AR59" s="626">
        <f>N59+AK59</f>
        <v>2.7399999999999998</v>
      </c>
    </row>
    <row r="60" spans="1:46" ht="12.95" customHeight="1" x14ac:dyDescent="0.25">
      <c r="A60" s="205">
        <v>12</v>
      </c>
      <c r="B60" s="246">
        <v>5407</v>
      </c>
      <c r="C60" s="247">
        <v>600099148</v>
      </c>
      <c r="D60" s="206">
        <v>70939403</v>
      </c>
      <c r="E60" s="248" t="s">
        <v>357</v>
      </c>
      <c r="F60" s="206">
        <v>3143</v>
      </c>
      <c r="G60" s="248" t="s">
        <v>794</v>
      </c>
      <c r="H60" s="209" t="s">
        <v>262</v>
      </c>
      <c r="I60" s="586">
        <f t="shared" si="100"/>
        <v>466730</v>
      </c>
      <c r="J60" s="490">
        <v>346239</v>
      </c>
      <c r="K60" s="431">
        <f t="shared" si="101"/>
        <v>117029</v>
      </c>
      <c r="L60" s="431">
        <f t="shared" si="102"/>
        <v>3462</v>
      </c>
      <c r="M60" s="325">
        <v>0</v>
      </c>
      <c r="N60" s="752">
        <v>0.65</v>
      </c>
      <c r="O60" s="327">
        <f t="shared" si="103"/>
        <v>0</v>
      </c>
      <c r="P60" s="492">
        <v>0</v>
      </c>
      <c r="Q60" s="325">
        <v>0</v>
      </c>
      <c r="R60" s="325">
        <v>0</v>
      </c>
      <c r="S60" s="325">
        <v>0</v>
      </c>
      <c r="T60" s="325">
        <v>0</v>
      </c>
      <c r="U60" s="492">
        <f>O60+P60+Q60+R60+S60+T60</f>
        <v>0</v>
      </c>
      <c r="V60" s="325">
        <v>0</v>
      </c>
      <c r="W60" s="325">
        <v>0</v>
      </c>
      <c r="X60" s="325">
        <v>0</v>
      </c>
      <c r="Y60" s="492">
        <f t="shared" si="104"/>
        <v>0</v>
      </c>
      <c r="Z60" s="492">
        <f t="shared" si="105"/>
        <v>0</v>
      </c>
      <c r="AA60" s="494">
        <f t="shared" si="106"/>
        <v>0</v>
      </c>
      <c r="AB60" s="494">
        <f t="shared" si="107"/>
        <v>0</v>
      </c>
      <c r="AC60" s="492">
        <v>0</v>
      </c>
      <c r="AD60" s="789">
        <f t="shared" si="108"/>
        <v>0</v>
      </c>
      <c r="AE60" s="715">
        <v>0</v>
      </c>
      <c r="AF60" s="491">
        <v>0</v>
      </c>
      <c r="AG60" s="326">
        <v>0</v>
      </c>
      <c r="AH60" s="326">
        <v>0</v>
      </c>
      <c r="AI60" s="326">
        <v>0</v>
      </c>
      <c r="AJ60" s="326">
        <v>0</v>
      </c>
      <c r="AK60" s="626">
        <f>SUM(AE60:AJ60)</f>
        <v>0</v>
      </c>
      <c r="AL60" s="696">
        <f>I60+AD60</f>
        <v>466730</v>
      </c>
      <c r="AM60" s="492">
        <f>J60+U60</f>
        <v>346239</v>
      </c>
      <c r="AN60" s="492">
        <f>Y60</f>
        <v>0</v>
      </c>
      <c r="AO60" s="492">
        <f t="shared" si="109"/>
        <v>117029</v>
      </c>
      <c r="AP60" s="492">
        <f t="shared" si="109"/>
        <v>3462</v>
      </c>
      <c r="AQ60" s="492">
        <f t="shared" si="109"/>
        <v>0</v>
      </c>
      <c r="AR60" s="626">
        <f>N60+AK60</f>
        <v>0.65</v>
      </c>
    </row>
    <row r="61" spans="1:46" ht="12.95" customHeight="1" x14ac:dyDescent="0.25">
      <c r="A61" s="249">
        <v>12</v>
      </c>
      <c r="B61" s="250">
        <v>5407</v>
      </c>
      <c r="C61" s="251">
        <v>600099148</v>
      </c>
      <c r="D61" s="250">
        <v>70939403</v>
      </c>
      <c r="E61" s="252" t="s">
        <v>358</v>
      </c>
      <c r="F61" s="216"/>
      <c r="G61" s="254"/>
      <c r="H61" s="217"/>
      <c r="I61" s="686">
        <f t="shared" ref="I61:AR61" si="110">SUM(I57:I60)</f>
        <v>12056553</v>
      </c>
      <c r="J61" s="355">
        <f t="shared" si="110"/>
        <v>8944031</v>
      </c>
      <c r="K61" s="355">
        <f t="shared" si="110"/>
        <v>3023082</v>
      </c>
      <c r="L61" s="355">
        <f t="shared" si="110"/>
        <v>89440</v>
      </c>
      <c r="M61" s="355">
        <f t="shared" ref="M61" si="111">SUM(M57:M60)</f>
        <v>0</v>
      </c>
      <c r="N61" s="816">
        <f t="shared" si="110"/>
        <v>13.897200000000002</v>
      </c>
      <c r="O61" s="686">
        <f t="shared" si="110"/>
        <v>-6000</v>
      </c>
      <c r="P61" s="355">
        <f t="shared" si="110"/>
        <v>1208581</v>
      </c>
      <c r="Q61" s="355">
        <f t="shared" si="110"/>
        <v>0</v>
      </c>
      <c r="R61" s="355">
        <f t="shared" si="110"/>
        <v>0</v>
      </c>
      <c r="S61" s="355">
        <f t="shared" si="110"/>
        <v>0</v>
      </c>
      <c r="T61" s="355">
        <f t="shared" si="110"/>
        <v>0</v>
      </c>
      <c r="U61" s="355">
        <f t="shared" si="110"/>
        <v>1202581</v>
      </c>
      <c r="V61" s="355">
        <f t="shared" si="110"/>
        <v>6000</v>
      </c>
      <c r="W61" s="355">
        <f t="shared" si="110"/>
        <v>0</v>
      </c>
      <c r="X61" s="355">
        <f t="shared" si="110"/>
        <v>0</v>
      </c>
      <c r="Y61" s="355">
        <f t="shared" si="110"/>
        <v>6000</v>
      </c>
      <c r="Z61" s="355">
        <f t="shared" si="110"/>
        <v>1208581</v>
      </c>
      <c r="AA61" s="355">
        <f t="shared" si="110"/>
        <v>408500</v>
      </c>
      <c r="AB61" s="355">
        <f t="shared" si="110"/>
        <v>12026</v>
      </c>
      <c r="AC61" s="355">
        <f t="shared" si="110"/>
        <v>0</v>
      </c>
      <c r="AD61" s="683">
        <f t="shared" si="110"/>
        <v>1629107</v>
      </c>
      <c r="AE61" s="829">
        <v>-0.01</v>
      </c>
      <c r="AF61" s="356">
        <f t="shared" si="110"/>
        <v>2.7399999999999998</v>
      </c>
      <c r="AG61" s="356">
        <f t="shared" si="110"/>
        <v>0</v>
      </c>
      <c r="AH61" s="356">
        <f t="shared" si="110"/>
        <v>0</v>
      </c>
      <c r="AI61" s="356">
        <f t="shared" si="110"/>
        <v>0</v>
      </c>
      <c r="AJ61" s="356">
        <f t="shared" si="110"/>
        <v>0</v>
      </c>
      <c r="AK61" s="253">
        <f t="shared" si="110"/>
        <v>2.73</v>
      </c>
      <c r="AL61" s="686">
        <f t="shared" si="110"/>
        <v>13685660</v>
      </c>
      <c r="AM61" s="355">
        <f t="shared" si="110"/>
        <v>10146612</v>
      </c>
      <c r="AN61" s="355">
        <f t="shared" si="110"/>
        <v>6000</v>
      </c>
      <c r="AO61" s="355">
        <f t="shared" si="110"/>
        <v>3431582</v>
      </c>
      <c r="AP61" s="355">
        <f t="shared" si="110"/>
        <v>101466</v>
      </c>
      <c r="AQ61" s="355">
        <f t="shared" si="110"/>
        <v>0</v>
      </c>
      <c r="AR61" s="253">
        <f t="shared" si="110"/>
        <v>16.627200000000002</v>
      </c>
    </row>
    <row r="62" spans="1:46" ht="12.95" customHeight="1" x14ac:dyDescent="0.25">
      <c r="A62" s="205">
        <v>13</v>
      </c>
      <c r="B62" s="246">
        <v>5411</v>
      </c>
      <c r="C62" s="247">
        <v>650034244</v>
      </c>
      <c r="D62" s="206">
        <v>70985375</v>
      </c>
      <c r="E62" s="248" t="s">
        <v>359</v>
      </c>
      <c r="F62" s="206">
        <v>3111</v>
      </c>
      <c r="G62" s="248" t="s">
        <v>290</v>
      </c>
      <c r="H62" s="209" t="s">
        <v>262</v>
      </c>
      <c r="I62" s="627">
        <f t="shared" ref="I62:I65" si="112">SUM(J62:M62)</f>
        <v>1707048</v>
      </c>
      <c r="J62" s="559">
        <v>1266356</v>
      </c>
      <c r="K62" s="431">
        <f t="shared" ref="K62:K65" si="113">ROUND(J62*33.8%,0)</f>
        <v>428028</v>
      </c>
      <c r="L62" s="431">
        <f t="shared" ref="L62:L65" si="114">ROUND(J62*1%,0)</f>
        <v>12664</v>
      </c>
      <c r="M62" s="325">
        <v>0</v>
      </c>
      <c r="N62" s="751">
        <v>2</v>
      </c>
      <c r="O62" s="327">
        <f t="shared" ref="O62:O65" si="115">V62*-1</f>
        <v>-15000</v>
      </c>
      <c r="P62" s="492">
        <v>0</v>
      </c>
      <c r="Q62" s="325">
        <v>0</v>
      </c>
      <c r="R62" s="325">
        <v>0</v>
      </c>
      <c r="S62" s="325">
        <v>0</v>
      </c>
      <c r="T62" s="325">
        <v>0</v>
      </c>
      <c r="U62" s="492">
        <f>O62+P62+Q62+R62+S62+T62</f>
        <v>-15000</v>
      </c>
      <c r="V62" s="325">
        <v>15000</v>
      </c>
      <c r="W62" s="325">
        <v>0</v>
      </c>
      <c r="X62" s="325">
        <v>0</v>
      </c>
      <c r="Y62" s="492">
        <f t="shared" ref="Y62:Y65" si="116">V62+W62+X62</f>
        <v>15000</v>
      </c>
      <c r="Z62" s="492">
        <f t="shared" ref="Z62:Z65" si="117">U62+Y62</f>
        <v>0</v>
      </c>
      <c r="AA62" s="494">
        <f t="shared" ref="AA62:AA65" si="118">ROUND((U62+Y62)*33.8%,0)</f>
        <v>0</v>
      </c>
      <c r="AB62" s="494">
        <f t="shared" ref="AB62:AB65" si="119">ROUND(U62*1%,0)</f>
        <v>-150</v>
      </c>
      <c r="AC62" s="492">
        <v>0</v>
      </c>
      <c r="AD62" s="789">
        <f t="shared" ref="AD62:AD65" si="120">Z62+AA62+AB62+AC62</f>
        <v>-150</v>
      </c>
      <c r="AE62" s="715">
        <v>0</v>
      </c>
      <c r="AF62" s="491">
        <v>0</v>
      </c>
      <c r="AG62" s="326">
        <v>0</v>
      </c>
      <c r="AH62" s="326">
        <v>0</v>
      </c>
      <c r="AI62" s="326">
        <v>0</v>
      </c>
      <c r="AJ62" s="326">
        <v>0</v>
      </c>
      <c r="AK62" s="626">
        <f>SUM(AE62:AJ62)</f>
        <v>0</v>
      </c>
      <c r="AL62" s="696">
        <f>I62+AD62</f>
        <v>1706898</v>
      </c>
      <c r="AM62" s="492">
        <f>J62+U62</f>
        <v>1251356</v>
      </c>
      <c r="AN62" s="492">
        <f>Y62</f>
        <v>15000</v>
      </c>
      <c r="AO62" s="492">
        <f t="shared" ref="AO62:AQ65" si="121">K62+AA62</f>
        <v>428028</v>
      </c>
      <c r="AP62" s="492">
        <f t="shared" si="121"/>
        <v>12514</v>
      </c>
      <c r="AQ62" s="492">
        <f t="shared" si="121"/>
        <v>0</v>
      </c>
      <c r="AR62" s="626">
        <f>N62+AK62</f>
        <v>2</v>
      </c>
      <c r="AT62" s="239"/>
    </row>
    <row r="63" spans="1:46" ht="12.95" customHeight="1" x14ac:dyDescent="0.25">
      <c r="A63" s="205">
        <v>13</v>
      </c>
      <c r="B63" s="246">
        <v>5411</v>
      </c>
      <c r="C63" s="247">
        <v>650034244</v>
      </c>
      <c r="D63" s="206">
        <v>70985375</v>
      </c>
      <c r="E63" s="248" t="s">
        <v>359</v>
      </c>
      <c r="F63" s="206">
        <v>3117</v>
      </c>
      <c r="G63" s="248" t="s">
        <v>280</v>
      </c>
      <c r="H63" s="209" t="s">
        <v>262</v>
      </c>
      <c r="I63" s="586">
        <f t="shared" si="112"/>
        <v>2824119</v>
      </c>
      <c r="J63" s="490">
        <v>2095044</v>
      </c>
      <c r="K63" s="431">
        <f t="shared" si="113"/>
        <v>708125</v>
      </c>
      <c r="L63" s="431">
        <f t="shared" si="114"/>
        <v>20950</v>
      </c>
      <c r="M63" s="325">
        <v>0</v>
      </c>
      <c r="N63" s="752">
        <v>3</v>
      </c>
      <c r="O63" s="327">
        <f t="shared" si="115"/>
        <v>-27600</v>
      </c>
      <c r="P63" s="492">
        <v>0</v>
      </c>
      <c r="Q63" s="325">
        <v>0</v>
      </c>
      <c r="R63" s="325">
        <v>0</v>
      </c>
      <c r="S63" s="325">
        <v>0</v>
      </c>
      <c r="T63" s="325">
        <v>0</v>
      </c>
      <c r="U63" s="492">
        <f>O63+P63+Q63+R63+S63+T63</f>
        <v>-27600</v>
      </c>
      <c r="V63" s="325">
        <v>27600</v>
      </c>
      <c r="W63" s="325">
        <v>0</v>
      </c>
      <c r="X63" s="325">
        <v>0</v>
      </c>
      <c r="Y63" s="492">
        <f t="shared" si="116"/>
        <v>27600</v>
      </c>
      <c r="Z63" s="492">
        <f t="shared" si="117"/>
        <v>0</v>
      </c>
      <c r="AA63" s="494">
        <f t="shared" si="118"/>
        <v>0</v>
      </c>
      <c r="AB63" s="494">
        <f t="shared" si="119"/>
        <v>-276</v>
      </c>
      <c r="AC63" s="492">
        <v>0</v>
      </c>
      <c r="AD63" s="789">
        <f t="shared" si="120"/>
        <v>-276</v>
      </c>
      <c r="AE63" s="715">
        <v>-0.01</v>
      </c>
      <c r="AF63" s="491">
        <v>0</v>
      </c>
      <c r="AG63" s="326">
        <v>0</v>
      </c>
      <c r="AH63" s="326">
        <v>0</v>
      </c>
      <c r="AI63" s="326">
        <v>0</v>
      </c>
      <c r="AJ63" s="326">
        <v>0</v>
      </c>
      <c r="AK63" s="626">
        <f>SUM(AE63:AJ63)</f>
        <v>-0.01</v>
      </c>
      <c r="AL63" s="696">
        <f>I63+AD63</f>
        <v>2823843</v>
      </c>
      <c r="AM63" s="492">
        <f>J63+U63</f>
        <v>2067444</v>
      </c>
      <c r="AN63" s="492">
        <f>Y63</f>
        <v>27600</v>
      </c>
      <c r="AO63" s="492">
        <f t="shared" si="121"/>
        <v>708125</v>
      </c>
      <c r="AP63" s="492">
        <f t="shared" si="121"/>
        <v>20674</v>
      </c>
      <c r="AQ63" s="492">
        <f t="shared" si="121"/>
        <v>0</v>
      </c>
      <c r="AR63" s="626">
        <f>N63+AK63</f>
        <v>2.99</v>
      </c>
    </row>
    <row r="64" spans="1:46" ht="12.95" customHeight="1" x14ac:dyDescent="0.25">
      <c r="A64" s="205">
        <v>13</v>
      </c>
      <c r="B64" s="246">
        <v>5411</v>
      </c>
      <c r="C64" s="247">
        <v>650034244</v>
      </c>
      <c r="D64" s="206">
        <v>70985375</v>
      </c>
      <c r="E64" s="248" t="s">
        <v>359</v>
      </c>
      <c r="F64" s="206">
        <v>3117</v>
      </c>
      <c r="G64" s="248" t="s">
        <v>284</v>
      </c>
      <c r="H64" s="209" t="s">
        <v>263</v>
      </c>
      <c r="I64" s="586">
        <f t="shared" si="112"/>
        <v>0</v>
      </c>
      <c r="J64" s="490"/>
      <c r="K64" s="431">
        <f t="shared" si="113"/>
        <v>0</v>
      </c>
      <c r="L64" s="431">
        <f t="shared" si="114"/>
        <v>0</v>
      </c>
      <c r="M64" s="325">
        <v>0</v>
      </c>
      <c r="N64" s="752"/>
      <c r="O64" s="327">
        <f t="shared" si="115"/>
        <v>0</v>
      </c>
      <c r="P64" s="492">
        <f>198424</f>
        <v>198424</v>
      </c>
      <c r="Q64" s="325">
        <v>0</v>
      </c>
      <c r="R64" s="325">
        <v>0</v>
      </c>
      <c r="S64" s="325">
        <v>0</v>
      </c>
      <c r="T64" s="325">
        <v>0</v>
      </c>
      <c r="U64" s="492">
        <f>O64+P64+Q64+R64+S64+T64</f>
        <v>198424</v>
      </c>
      <c r="V64" s="325">
        <v>0</v>
      </c>
      <c r="W64" s="325">
        <v>0</v>
      </c>
      <c r="X64" s="325">
        <v>0</v>
      </c>
      <c r="Y64" s="492">
        <f t="shared" si="116"/>
        <v>0</v>
      </c>
      <c r="Z64" s="492">
        <f t="shared" si="117"/>
        <v>198424</v>
      </c>
      <c r="AA64" s="494">
        <f t="shared" si="118"/>
        <v>67067</v>
      </c>
      <c r="AB64" s="494">
        <f t="shared" si="119"/>
        <v>1984</v>
      </c>
      <c r="AC64" s="492">
        <v>0</v>
      </c>
      <c r="AD64" s="789">
        <f t="shared" si="120"/>
        <v>267475</v>
      </c>
      <c r="AE64" s="715">
        <v>0</v>
      </c>
      <c r="AF64" s="491">
        <v>0.5</v>
      </c>
      <c r="AG64" s="326">
        <v>0</v>
      </c>
      <c r="AH64" s="326">
        <v>0</v>
      </c>
      <c r="AI64" s="326">
        <v>0</v>
      </c>
      <c r="AJ64" s="326">
        <v>0</v>
      </c>
      <c r="AK64" s="626">
        <f>SUM(AE64:AJ64)</f>
        <v>0.5</v>
      </c>
      <c r="AL64" s="696">
        <f>I64+AD64</f>
        <v>267475</v>
      </c>
      <c r="AM64" s="492">
        <f>J64+U64</f>
        <v>198424</v>
      </c>
      <c r="AN64" s="492">
        <f>Y64</f>
        <v>0</v>
      </c>
      <c r="AO64" s="492">
        <f t="shared" si="121"/>
        <v>67067</v>
      </c>
      <c r="AP64" s="492">
        <f t="shared" si="121"/>
        <v>1984</v>
      </c>
      <c r="AQ64" s="492">
        <f t="shared" si="121"/>
        <v>0</v>
      </c>
      <c r="AR64" s="626">
        <f>N64+AK64</f>
        <v>0.5</v>
      </c>
    </row>
    <row r="65" spans="1:44" ht="12.95" customHeight="1" x14ac:dyDescent="0.25">
      <c r="A65" s="205">
        <v>13</v>
      </c>
      <c r="B65" s="246">
        <v>5411</v>
      </c>
      <c r="C65" s="247">
        <v>650034244</v>
      </c>
      <c r="D65" s="206">
        <v>70985375</v>
      </c>
      <c r="E65" s="248" t="s">
        <v>359</v>
      </c>
      <c r="F65" s="206">
        <v>3143</v>
      </c>
      <c r="G65" s="248" t="s">
        <v>795</v>
      </c>
      <c r="H65" s="209" t="s">
        <v>262</v>
      </c>
      <c r="I65" s="586">
        <f t="shared" si="112"/>
        <v>637396</v>
      </c>
      <c r="J65" s="490">
        <v>472846</v>
      </c>
      <c r="K65" s="431">
        <f t="shared" si="113"/>
        <v>159822</v>
      </c>
      <c r="L65" s="431">
        <f t="shared" si="114"/>
        <v>4728</v>
      </c>
      <c r="M65" s="325">
        <v>0</v>
      </c>
      <c r="N65" s="752">
        <v>0.89839999999999998</v>
      </c>
      <c r="O65" s="327">
        <f t="shared" si="115"/>
        <v>0</v>
      </c>
      <c r="P65" s="492">
        <v>0</v>
      </c>
      <c r="Q65" s="325">
        <v>0</v>
      </c>
      <c r="R65" s="325">
        <v>0</v>
      </c>
      <c r="S65" s="325">
        <v>0</v>
      </c>
      <c r="T65" s="325">
        <v>0</v>
      </c>
      <c r="U65" s="492">
        <f>O65+P65+Q65+R65+S65+T65</f>
        <v>0</v>
      </c>
      <c r="V65" s="325">
        <v>0</v>
      </c>
      <c r="W65" s="325">
        <v>0</v>
      </c>
      <c r="X65" s="325">
        <v>0</v>
      </c>
      <c r="Y65" s="492">
        <f t="shared" si="116"/>
        <v>0</v>
      </c>
      <c r="Z65" s="492">
        <f t="shared" si="117"/>
        <v>0</v>
      </c>
      <c r="AA65" s="494">
        <f t="shared" si="118"/>
        <v>0</v>
      </c>
      <c r="AB65" s="494">
        <f t="shared" si="119"/>
        <v>0</v>
      </c>
      <c r="AC65" s="492">
        <v>0</v>
      </c>
      <c r="AD65" s="789">
        <f t="shared" si="120"/>
        <v>0</v>
      </c>
      <c r="AE65" s="715">
        <v>0</v>
      </c>
      <c r="AF65" s="491">
        <v>0</v>
      </c>
      <c r="AG65" s="326">
        <v>0</v>
      </c>
      <c r="AH65" s="326">
        <v>0</v>
      </c>
      <c r="AI65" s="326">
        <v>0</v>
      </c>
      <c r="AJ65" s="326">
        <v>0</v>
      </c>
      <c r="AK65" s="626">
        <f>SUM(AE65:AJ65)</f>
        <v>0</v>
      </c>
      <c r="AL65" s="696">
        <f>I65+AD65</f>
        <v>637396</v>
      </c>
      <c r="AM65" s="492">
        <f>J65+U65</f>
        <v>472846</v>
      </c>
      <c r="AN65" s="492">
        <f>Y65</f>
        <v>0</v>
      </c>
      <c r="AO65" s="492">
        <f t="shared" si="121"/>
        <v>159822</v>
      </c>
      <c r="AP65" s="492">
        <f t="shared" si="121"/>
        <v>4728</v>
      </c>
      <c r="AQ65" s="492">
        <f t="shared" si="121"/>
        <v>0</v>
      </c>
      <c r="AR65" s="626">
        <f>N65+AK65</f>
        <v>0.89839999999999998</v>
      </c>
    </row>
    <row r="66" spans="1:44" ht="12.95" customHeight="1" x14ac:dyDescent="0.25">
      <c r="A66" s="249">
        <v>13</v>
      </c>
      <c r="B66" s="250">
        <v>5411</v>
      </c>
      <c r="C66" s="251">
        <v>650034244</v>
      </c>
      <c r="D66" s="250">
        <v>70985375</v>
      </c>
      <c r="E66" s="252" t="s">
        <v>360</v>
      </c>
      <c r="F66" s="216"/>
      <c r="G66" s="254"/>
      <c r="H66" s="217"/>
      <c r="I66" s="686">
        <f t="shared" ref="I66:AR66" si="122">SUM(I62:I65)</f>
        <v>5168563</v>
      </c>
      <c r="J66" s="355">
        <f t="shared" si="122"/>
        <v>3834246</v>
      </c>
      <c r="K66" s="355">
        <f t="shared" si="122"/>
        <v>1295975</v>
      </c>
      <c r="L66" s="355">
        <f t="shared" si="122"/>
        <v>38342</v>
      </c>
      <c r="M66" s="355">
        <f t="shared" ref="M66" si="123">SUM(M62:M65)</f>
        <v>0</v>
      </c>
      <c r="N66" s="816">
        <f t="shared" si="122"/>
        <v>5.8983999999999996</v>
      </c>
      <c r="O66" s="686">
        <f t="shared" si="122"/>
        <v>-42600</v>
      </c>
      <c r="P66" s="355">
        <f t="shared" si="122"/>
        <v>198424</v>
      </c>
      <c r="Q66" s="355">
        <f t="shared" si="122"/>
        <v>0</v>
      </c>
      <c r="R66" s="355">
        <f t="shared" si="122"/>
        <v>0</v>
      </c>
      <c r="S66" s="355">
        <f t="shared" si="122"/>
        <v>0</v>
      </c>
      <c r="T66" s="355">
        <f t="shared" si="122"/>
        <v>0</v>
      </c>
      <c r="U66" s="355">
        <f t="shared" si="122"/>
        <v>155824</v>
      </c>
      <c r="V66" s="355">
        <f t="shared" si="122"/>
        <v>42600</v>
      </c>
      <c r="W66" s="355">
        <f t="shared" si="122"/>
        <v>0</v>
      </c>
      <c r="X66" s="355">
        <f t="shared" si="122"/>
        <v>0</v>
      </c>
      <c r="Y66" s="355">
        <f t="shared" si="122"/>
        <v>42600</v>
      </c>
      <c r="Z66" s="355">
        <f t="shared" si="122"/>
        <v>198424</v>
      </c>
      <c r="AA66" s="355">
        <f t="shared" si="122"/>
        <v>67067</v>
      </c>
      <c r="AB66" s="355">
        <f t="shared" si="122"/>
        <v>1558</v>
      </c>
      <c r="AC66" s="355">
        <f t="shared" si="122"/>
        <v>0</v>
      </c>
      <c r="AD66" s="683">
        <f t="shared" si="122"/>
        <v>267049</v>
      </c>
      <c r="AE66" s="829">
        <v>-0.01</v>
      </c>
      <c r="AF66" s="356">
        <f t="shared" si="122"/>
        <v>0.5</v>
      </c>
      <c r="AG66" s="356">
        <f t="shared" si="122"/>
        <v>0</v>
      </c>
      <c r="AH66" s="356">
        <f t="shared" si="122"/>
        <v>0</v>
      </c>
      <c r="AI66" s="356">
        <f t="shared" si="122"/>
        <v>0</v>
      </c>
      <c r="AJ66" s="356">
        <f t="shared" si="122"/>
        <v>0</v>
      </c>
      <c r="AK66" s="253">
        <f t="shared" si="122"/>
        <v>0.49</v>
      </c>
      <c r="AL66" s="686">
        <f t="shared" si="122"/>
        <v>5435612</v>
      </c>
      <c r="AM66" s="355">
        <f t="shared" si="122"/>
        <v>3990070</v>
      </c>
      <c r="AN66" s="355">
        <f t="shared" si="122"/>
        <v>42600</v>
      </c>
      <c r="AO66" s="355">
        <f t="shared" si="122"/>
        <v>1363042</v>
      </c>
      <c r="AP66" s="355">
        <f t="shared" si="122"/>
        <v>39900</v>
      </c>
      <c r="AQ66" s="355">
        <f t="shared" si="122"/>
        <v>0</v>
      </c>
      <c r="AR66" s="253">
        <f t="shared" si="122"/>
        <v>6.3883999999999999</v>
      </c>
    </row>
    <row r="67" spans="1:44" ht="12.95" customHeight="1" x14ac:dyDescent="0.25">
      <c r="A67" s="205">
        <v>14</v>
      </c>
      <c r="B67" s="246">
        <v>5412</v>
      </c>
      <c r="C67" s="247">
        <v>600099130</v>
      </c>
      <c r="D67" s="206">
        <v>70698066</v>
      </c>
      <c r="E67" s="248" t="s">
        <v>361</v>
      </c>
      <c r="F67" s="206">
        <v>3111</v>
      </c>
      <c r="G67" s="248" t="s">
        <v>290</v>
      </c>
      <c r="H67" s="209" t="s">
        <v>262</v>
      </c>
      <c r="I67" s="627">
        <f t="shared" ref="I67:I70" si="124">SUM(J67:M67)</f>
        <v>1556952</v>
      </c>
      <c r="J67" s="559">
        <v>1155009</v>
      </c>
      <c r="K67" s="431">
        <f t="shared" ref="K67:K70" si="125">ROUND(J67*33.8%,0)</f>
        <v>390393</v>
      </c>
      <c r="L67" s="431">
        <f t="shared" ref="L67:L70" si="126">ROUND(J67*1%,0)</f>
        <v>11550</v>
      </c>
      <c r="M67" s="325">
        <v>0</v>
      </c>
      <c r="N67" s="751">
        <v>1.9355</v>
      </c>
      <c r="O67" s="327">
        <f t="shared" ref="O67:O70" si="127">V67*-1</f>
        <v>0</v>
      </c>
      <c r="P67" s="492">
        <v>0</v>
      </c>
      <c r="Q67" s="325">
        <v>0</v>
      </c>
      <c r="R67" s="325">
        <v>0</v>
      </c>
      <c r="S67" s="325">
        <v>0</v>
      </c>
      <c r="T67" s="325">
        <v>0</v>
      </c>
      <c r="U67" s="492">
        <f>O67+P67+Q67+R67+S67+T67</f>
        <v>0</v>
      </c>
      <c r="V67" s="325">
        <v>0</v>
      </c>
      <c r="W67" s="325">
        <v>0</v>
      </c>
      <c r="X67" s="325">
        <v>0</v>
      </c>
      <c r="Y67" s="492">
        <f t="shared" ref="Y67:Y70" si="128">V67+W67+X67</f>
        <v>0</v>
      </c>
      <c r="Z67" s="492">
        <f t="shared" ref="Z67:Z70" si="129">U67+Y67</f>
        <v>0</v>
      </c>
      <c r="AA67" s="494">
        <f t="shared" ref="AA67:AA70" si="130">ROUND((U67+Y67)*33.8%,0)</f>
        <v>0</v>
      </c>
      <c r="AB67" s="494">
        <f t="shared" ref="AB67:AB70" si="131">ROUND(U67*1%,0)</f>
        <v>0</v>
      </c>
      <c r="AC67" s="492">
        <v>0</v>
      </c>
      <c r="AD67" s="789">
        <f t="shared" ref="AD67:AD70" si="132">Z67+AA67+AB67+AC67</f>
        <v>0</v>
      </c>
      <c r="AE67" s="715">
        <v>0</v>
      </c>
      <c r="AF67" s="491">
        <v>0</v>
      </c>
      <c r="AG67" s="326">
        <v>0</v>
      </c>
      <c r="AH67" s="326">
        <v>0</v>
      </c>
      <c r="AI67" s="326">
        <v>0</v>
      </c>
      <c r="AJ67" s="326">
        <v>0</v>
      </c>
      <c r="AK67" s="626">
        <f>SUM(AE67:AJ67)</f>
        <v>0</v>
      </c>
      <c r="AL67" s="696">
        <f>I67+AD67</f>
        <v>1556952</v>
      </c>
      <c r="AM67" s="492">
        <f>J67+U67</f>
        <v>1155009</v>
      </c>
      <c r="AN67" s="492">
        <f>Y67</f>
        <v>0</v>
      </c>
      <c r="AO67" s="492">
        <f t="shared" ref="AO67:AQ70" si="133">K67+AA67</f>
        <v>390393</v>
      </c>
      <c r="AP67" s="492">
        <f t="shared" si="133"/>
        <v>11550</v>
      </c>
      <c r="AQ67" s="492">
        <f t="shared" si="133"/>
        <v>0</v>
      </c>
      <c r="AR67" s="626">
        <f>N67+AK67</f>
        <v>1.9355</v>
      </c>
    </row>
    <row r="68" spans="1:44" ht="12.95" customHeight="1" x14ac:dyDescent="0.25">
      <c r="A68" s="205">
        <v>14</v>
      </c>
      <c r="B68" s="246">
        <v>5412</v>
      </c>
      <c r="C68" s="247">
        <v>600099130</v>
      </c>
      <c r="D68" s="206">
        <v>70698066</v>
      </c>
      <c r="E68" s="248" t="s">
        <v>361</v>
      </c>
      <c r="F68" s="206">
        <v>3117</v>
      </c>
      <c r="G68" s="248" t="s">
        <v>280</v>
      </c>
      <c r="H68" s="209" t="s">
        <v>262</v>
      </c>
      <c r="I68" s="586">
        <f t="shared" si="124"/>
        <v>2192363</v>
      </c>
      <c r="J68" s="490">
        <v>1626382</v>
      </c>
      <c r="K68" s="431">
        <f t="shared" si="125"/>
        <v>549717</v>
      </c>
      <c r="L68" s="431">
        <f t="shared" si="126"/>
        <v>16264</v>
      </c>
      <c r="M68" s="325">
        <v>0</v>
      </c>
      <c r="N68" s="752">
        <v>2.3969</v>
      </c>
      <c r="O68" s="327">
        <f t="shared" si="127"/>
        <v>0</v>
      </c>
      <c r="P68" s="492">
        <v>0</v>
      </c>
      <c r="Q68" s="325">
        <v>0</v>
      </c>
      <c r="R68" s="325">
        <v>0</v>
      </c>
      <c r="S68" s="325">
        <v>0</v>
      </c>
      <c r="T68" s="325">
        <v>0</v>
      </c>
      <c r="U68" s="492">
        <f>O68+P68+Q68+R68+S68+T68</f>
        <v>0</v>
      </c>
      <c r="V68" s="325">
        <v>0</v>
      </c>
      <c r="W68" s="325">
        <v>0</v>
      </c>
      <c r="X68" s="325">
        <v>0</v>
      </c>
      <c r="Y68" s="492">
        <f t="shared" si="128"/>
        <v>0</v>
      </c>
      <c r="Z68" s="492">
        <f t="shared" si="129"/>
        <v>0</v>
      </c>
      <c r="AA68" s="494">
        <f t="shared" si="130"/>
        <v>0</v>
      </c>
      <c r="AB68" s="494">
        <f t="shared" si="131"/>
        <v>0</v>
      </c>
      <c r="AC68" s="492">
        <v>0</v>
      </c>
      <c r="AD68" s="789">
        <f t="shared" si="132"/>
        <v>0</v>
      </c>
      <c r="AE68" s="715">
        <v>0</v>
      </c>
      <c r="AF68" s="491">
        <v>0</v>
      </c>
      <c r="AG68" s="326">
        <v>0</v>
      </c>
      <c r="AH68" s="326">
        <v>0</v>
      </c>
      <c r="AI68" s="326">
        <v>0</v>
      </c>
      <c r="AJ68" s="326">
        <v>0</v>
      </c>
      <c r="AK68" s="626">
        <f>SUM(AE68:AJ68)</f>
        <v>0</v>
      </c>
      <c r="AL68" s="696">
        <f>I68+AD68</f>
        <v>2192363</v>
      </c>
      <c r="AM68" s="492">
        <f>J68+U68</f>
        <v>1626382</v>
      </c>
      <c r="AN68" s="492">
        <f>Y68</f>
        <v>0</v>
      </c>
      <c r="AO68" s="492">
        <f t="shared" si="133"/>
        <v>549717</v>
      </c>
      <c r="AP68" s="492">
        <f t="shared" si="133"/>
        <v>16264</v>
      </c>
      <c r="AQ68" s="492">
        <f t="shared" si="133"/>
        <v>0</v>
      </c>
      <c r="AR68" s="626">
        <f>N68+AK68</f>
        <v>2.3969</v>
      </c>
    </row>
    <row r="69" spans="1:44" ht="12.95" customHeight="1" x14ac:dyDescent="0.25">
      <c r="A69" s="205">
        <v>14</v>
      </c>
      <c r="B69" s="246">
        <v>5412</v>
      </c>
      <c r="C69" s="247">
        <v>600099130</v>
      </c>
      <c r="D69" s="206">
        <v>70698066</v>
      </c>
      <c r="E69" s="248" t="s">
        <v>361</v>
      </c>
      <c r="F69" s="206">
        <v>3117</v>
      </c>
      <c r="G69" s="248" t="s">
        <v>284</v>
      </c>
      <c r="H69" s="209" t="s">
        <v>263</v>
      </c>
      <c r="I69" s="586">
        <f t="shared" si="124"/>
        <v>0</v>
      </c>
      <c r="J69" s="490"/>
      <c r="K69" s="431">
        <f t="shared" si="125"/>
        <v>0</v>
      </c>
      <c r="L69" s="431">
        <f t="shared" si="126"/>
        <v>0</v>
      </c>
      <c r="M69" s="325">
        <v>0</v>
      </c>
      <c r="N69" s="752"/>
      <c r="O69" s="327">
        <f t="shared" si="127"/>
        <v>0</v>
      </c>
      <c r="P69" s="492">
        <v>253546</v>
      </c>
      <c r="Q69" s="325">
        <v>0</v>
      </c>
      <c r="R69" s="325">
        <v>0</v>
      </c>
      <c r="S69" s="325">
        <v>0</v>
      </c>
      <c r="T69" s="325">
        <v>0</v>
      </c>
      <c r="U69" s="492">
        <f>O69+P69+Q69+R69+S69+T69</f>
        <v>253546</v>
      </c>
      <c r="V69" s="325">
        <v>0</v>
      </c>
      <c r="W69" s="325">
        <v>0</v>
      </c>
      <c r="X69" s="325">
        <v>0</v>
      </c>
      <c r="Y69" s="492">
        <f t="shared" si="128"/>
        <v>0</v>
      </c>
      <c r="Z69" s="492">
        <f t="shared" si="129"/>
        <v>253546</v>
      </c>
      <c r="AA69" s="494">
        <f t="shared" si="130"/>
        <v>85699</v>
      </c>
      <c r="AB69" s="494">
        <f t="shared" si="131"/>
        <v>2535</v>
      </c>
      <c r="AC69" s="492">
        <v>0</v>
      </c>
      <c r="AD69" s="789">
        <f t="shared" si="132"/>
        <v>341780</v>
      </c>
      <c r="AE69" s="715">
        <v>0</v>
      </c>
      <c r="AF69" s="491">
        <v>0.64</v>
      </c>
      <c r="AG69" s="326">
        <v>0</v>
      </c>
      <c r="AH69" s="326">
        <v>0</v>
      </c>
      <c r="AI69" s="326">
        <v>0</v>
      </c>
      <c r="AJ69" s="326">
        <v>0</v>
      </c>
      <c r="AK69" s="626">
        <f>SUM(AE69:AJ69)</f>
        <v>0.64</v>
      </c>
      <c r="AL69" s="696">
        <f>I69+AD69</f>
        <v>341780</v>
      </c>
      <c r="AM69" s="492">
        <f>J69+U69</f>
        <v>253546</v>
      </c>
      <c r="AN69" s="492">
        <f>Y69</f>
        <v>0</v>
      </c>
      <c r="AO69" s="492">
        <f t="shared" si="133"/>
        <v>85699</v>
      </c>
      <c r="AP69" s="492">
        <f t="shared" si="133"/>
        <v>2535</v>
      </c>
      <c r="AQ69" s="492">
        <f t="shared" si="133"/>
        <v>0</v>
      </c>
      <c r="AR69" s="626">
        <f>N69+AK69</f>
        <v>0.64</v>
      </c>
    </row>
    <row r="70" spans="1:44" ht="12.95" customHeight="1" x14ac:dyDescent="0.25">
      <c r="A70" s="205">
        <v>14</v>
      </c>
      <c r="B70" s="246">
        <v>5412</v>
      </c>
      <c r="C70" s="247">
        <v>600099130</v>
      </c>
      <c r="D70" s="206">
        <v>70698066</v>
      </c>
      <c r="E70" s="248" t="s">
        <v>361</v>
      </c>
      <c r="F70" s="206">
        <v>3143</v>
      </c>
      <c r="G70" s="248" t="s">
        <v>794</v>
      </c>
      <c r="H70" s="209" t="s">
        <v>262</v>
      </c>
      <c r="I70" s="586">
        <f t="shared" si="124"/>
        <v>317610</v>
      </c>
      <c r="J70" s="490">
        <v>235616</v>
      </c>
      <c r="K70" s="431">
        <f t="shared" si="125"/>
        <v>79638</v>
      </c>
      <c r="L70" s="431">
        <f t="shared" si="126"/>
        <v>2356</v>
      </c>
      <c r="M70" s="325">
        <v>0</v>
      </c>
      <c r="N70" s="752">
        <v>0.5</v>
      </c>
      <c r="O70" s="327">
        <f t="shared" si="127"/>
        <v>0</v>
      </c>
      <c r="P70" s="492">
        <v>0</v>
      </c>
      <c r="Q70" s="325">
        <v>0</v>
      </c>
      <c r="R70" s="325">
        <v>0</v>
      </c>
      <c r="S70" s="325">
        <v>0</v>
      </c>
      <c r="T70" s="325">
        <v>0</v>
      </c>
      <c r="U70" s="492">
        <f>O70+P70+Q70+R70+S70+T70</f>
        <v>0</v>
      </c>
      <c r="V70" s="325">
        <v>0</v>
      </c>
      <c r="W70" s="325">
        <v>0</v>
      </c>
      <c r="X70" s="325">
        <v>0</v>
      </c>
      <c r="Y70" s="492">
        <f t="shared" si="128"/>
        <v>0</v>
      </c>
      <c r="Z70" s="492">
        <f t="shared" si="129"/>
        <v>0</v>
      </c>
      <c r="AA70" s="494">
        <f t="shared" si="130"/>
        <v>0</v>
      </c>
      <c r="AB70" s="494">
        <f t="shared" si="131"/>
        <v>0</v>
      </c>
      <c r="AC70" s="492">
        <v>0</v>
      </c>
      <c r="AD70" s="789">
        <f t="shared" si="132"/>
        <v>0</v>
      </c>
      <c r="AE70" s="715">
        <v>0</v>
      </c>
      <c r="AF70" s="491">
        <v>0</v>
      </c>
      <c r="AG70" s="326">
        <v>0</v>
      </c>
      <c r="AH70" s="326">
        <v>0</v>
      </c>
      <c r="AI70" s="326">
        <v>0</v>
      </c>
      <c r="AJ70" s="326">
        <v>0</v>
      </c>
      <c r="AK70" s="626">
        <f>SUM(AE70:AJ70)</f>
        <v>0</v>
      </c>
      <c r="AL70" s="696">
        <f>I70+AD70</f>
        <v>317610</v>
      </c>
      <c r="AM70" s="492">
        <f>J70+U70</f>
        <v>235616</v>
      </c>
      <c r="AN70" s="492">
        <f>Y70</f>
        <v>0</v>
      </c>
      <c r="AO70" s="492">
        <f t="shared" si="133"/>
        <v>79638</v>
      </c>
      <c r="AP70" s="492">
        <f t="shared" si="133"/>
        <v>2356</v>
      </c>
      <c r="AQ70" s="492">
        <f t="shared" si="133"/>
        <v>0</v>
      </c>
      <c r="AR70" s="626">
        <f>N70+AK70</f>
        <v>0.5</v>
      </c>
    </row>
    <row r="71" spans="1:44" ht="12.95" customHeight="1" x14ac:dyDescent="0.25">
      <c r="A71" s="249">
        <v>14</v>
      </c>
      <c r="B71" s="250">
        <v>5412</v>
      </c>
      <c r="C71" s="251">
        <v>600099130</v>
      </c>
      <c r="D71" s="250">
        <v>70698066</v>
      </c>
      <c r="E71" s="252" t="s">
        <v>362</v>
      </c>
      <c r="F71" s="216"/>
      <c r="G71" s="254"/>
      <c r="H71" s="217"/>
      <c r="I71" s="686">
        <f t="shared" ref="I71:AR71" si="134">SUM(I67:I70)</f>
        <v>4066925</v>
      </c>
      <c r="J71" s="355">
        <f t="shared" si="134"/>
        <v>3017007</v>
      </c>
      <c r="K71" s="355">
        <f t="shared" si="134"/>
        <v>1019748</v>
      </c>
      <c r="L71" s="355">
        <f t="shared" si="134"/>
        <v>30170</v>
      </c>
      <c r="M71" s="355">
        <f t="shared" ref="M71" si="135">SUM(M67:M70)</f>
        <v>0</v>
      </c>
      <c r="N71" s="816">
        <f t="shared" si="134"/>
        <v>4.8323999999999998</v>
      </c>
      <c r="O71" s="686">
        <f t="shared" si="134"/>
        <v>0</v>
      </c>
      <c r="P71" s="355">
        <f t="shared" si="134"/>
        <v>253546</v>
      </c>
      <c r="Q71" s="355">
        <f t="shared" si="134"/>
        <v>0</v>
      </c>
      <c r="R71" s="355">
        <f t="shared" si="134"/>
        <v>0</v>
      </c>
      <c r="S71" s="355">
        <f t="shared" si="134"/>
        <v>0</v>
      </c>
      <c r="T71" s="355">
        <f t="shared" si="134"/>
        <v>0</v>
      </c>
      <c r="U71" s="355">
        <f t="shared" si="134"/>
        <v>253546</v>
      </c>
      <c r="V71" s="355">
        <f t="shared" si="134"/>
        <v>0</v>
      </c>
      <c r="W71" s="355">
        <f t="shared" si="134"/>
        <v>0</v>
      </c>
      <c r="X71" s="355">
        <f t="shared" si="134"/>
        <v>0</v>
      </c>
      <c r="Y71" s="355">
        <f t="shared" si="134"/>
        <v>0</v>
      </c>
      <c r="Z71" s="355">
        <f t="shared" si="134"/>
        <v>253546</v>
      </c>
      <c r="AA71" s="355">
        <f t="shared" si="134"/>
        <v>85699</v>
      </c>
      <c r="AB71" s="355">
        <f t="shared" si="134"/>
        <v>2535</v>
      </c>
      <c r="AC71" s="355">
        <f t="shared" si="134"/>
        <v>0</v>
      </c>
      <c r="AD71" s="683">
        <f t="shared" si="134"/>
        <v>341780</v>
      </c>
      <c r="AE71" s="829">
        <v>0</v>
      </c>
      <c r="AF71" s="356">
        <f t="shared" si="134"/>
        <v>0.64</v>
      </c>
      <c r="AG71" s="356">
        <f t="shared" si="134"/>
        <v>0</v>
      </c>
      <c r="AH71" s="356">
        <f t="shared" si="134"/>
        <v>0</v>
      </c>
      <c r="AI71" s="356">
        <f t="shared" si="134"/>
        <v>0</v>
      </c>
      <c r="AJ71" s="356">
        <f t="shared" si="134"/>
        <v>0</v>
      </c>
      <c r="AK71" s="253">
        <f t="shared" si="134"/>
        <v>0.64</v>
      </c>
      <c r="AL71" s="686">
        <f t="shared" si="134"/>
        <v>4408705</v>
      </c>
      <c r="AM71" s="355">
        <f t="shared" si="134"/>
        <v>3270553</v>
      </c>
      <c r="AN71" s="355">
        <f t="shared" si="134"/>
        <v>0</v>
      </c>
      <c r="AO71" s="355">
        <f t="shared" si="134"/>
        <v>1105447</v>
      </c>
      <c r="AP71" s="355">
        <f t="shared" si="134"/>
        <v>32705</v>
      </c>
      <c r="AQ71" s="355">
        <f t="shared" si="134"/>
        <v>0</v>
      </c>
      <c r="AR71" s="253">
        <f t="shared" si="134"/>
        <v>5.4723999999999995</v>
      </c>
    </row>
    <row r="72" spans="1:44" ht="12.95" customHeight="1" x14ac:dyDescent="0.25">
      <c r="A72" s="205">
        <v>15</v>
      </c>
      <c r="B72" s="246">
        <v>5418</v>
      </c>
      <c r="C72" s="247">
        <v>600098508</v>
      </c>
      <c r="D72" s="206">
        <v>70156573</v>
      </c>
      <c r="E72" s="248" t="s">
        <v>363</v>
      </c>
      <c r="F72" s="206">
        <v>3111</v>
      </c>
      <c r="G72" s="248" t="s">
        <v>290</v>
      </c>
      <c r="H72" s="209" t="s">
        <v>262</v>
      </c>
      <c r="I72" s="627">
        <f t="shared" ref="I72:I73" si="136">SUM(J72:M72)</f>
        <v>4616133</v>
      </c>
      <c r="J72" s="559">
        <v>3424431</v>
      </c>
      <c r="K72" s="431">
        <f t="shared" ref="K72:K73" si="137">ROUND(J72*33.8%,0)</f>
        <v>1157458</v>
      </c>
      <c r="L72" s="431">
        <f t="shared" ref="L72:L73" si="138">ROUND(J72*1%,0)</f>
        <v>34244</v>
      </c>
      <c r="M72" s="325">
        <v>0</v>
      </c>
      <c r="N72" s="751">
        <v>5.6440000000000001</v>
      </c>
      <c r="O72" s="327">
        <f>V72*-1</f>
        <v>0</v>
      </c>
      <c r="P72" s="492">
        <v>0</v>
      </c>
      <c r="Q72" s="325">
        <v>0</v>
      </c>
      <c r="R72" s="325">
        <v>0</v>
      </c>
      <c r="S72" s="325">
        <v>0</v>
      </c>
      <c r="T72" s="325">
        <v>0</v>
      </c>
      <c r="U72" s="492">
        <f>O72+P72+Q72+R72+S72+T72</f>
        <v>0</v>
      </c>
      <c r="V72" s="325">
        <v>0</v>
      </c>
      <c r="W72" s="325">
        <v>0</v>
      </c>
      <c r="X72" s="325">
        <v>0</v>
      </c>
      <c r="Y72" s="492">
        <f t="shared" ref="Y72:Y73" si="139">V72+W72+X72</f>
        <v>0</v>
      </c>
      <c r="Z72" s="492">
        <f t="shared" ref="Z72:Z73" si="140">U72+Y72</f>
        <v>0</v>
      </c>
      <c r="AA72" s="494">
        <f t="shared" ref="AA72:AA73" si="141">ROUND((U72+Y72)*33.8%,0)</f>
        <v>0</v>
      </c>
      <c r="AB72" s="494">
        <f t="shared" ref="AB72:AB73" si="142">ROUND(U72*1%,0)</f>
        <v>0</v>
      </c>
      <c r="AC72" s="492">
        <v>0</v>
      </c>
      <c r="AD72" s="789">
        <f t="shared" ref="AD72:AD73" si="143">Z72+AA72+AB72+AC72</f>
        <v>0</v>
      </c>
      <c r="AE72" s="715">
        <v>0</v>
      </c>
      <c r="AF72" s="491">
        <v>0</v>
      </c>
      <c r="AG72" s="326">
        <v>0</v>
      </c>
      <c r="AH72" s="326">
        <v>0</v>
      </c>
      <c r="AI72" s="326">
        <v>0</v>
      </c>
      <c r="AJ72" s="326">
        <v>0</v>
      </c>
      <c r="AK72" s="626">
        <f>SUM(AE72:AJ72)</f>
        <v>0</v>
      </c>
      <c r="AL72" s="696">
        <f>I72+AD72</f>
        <v>4616133</v>
      </c>
      <c r="AM72" s="492">
        <f>J72+U72</f>
        <v>3424431</v>
      </c>
      <c r="AN72" s="492">
        <f>Y72</f>
        <v>0</v>
      </c>
      <c r="AO72" s="492">
        <f t="shared" ref="AO72:AQ73" si="144">K72+AA72</f>
        <v>1157458</v>
      </c>
      <c r="AP72" s="492">
        <f t="shared" si="144"/>
        <v>34244</v>
      </c>
      <c r="AQ72" s="492">
        <f t="shared" si="144"/>
        <v>0</v>
      </c>
      <c r="AR72" s="626">
        <f>N72+AK72</f>
        <v>5.6440000000000001</v>
      </c>
    </row>
    <row r="73" spans="1:44" ht="12.95" customHeight="1" x14ac:dyDescent="0.25">
      <c r="A73" s="205">
        <v>15</v>
      </c>
      <c r="B73" s="246">
        <v>5418</v>
      </c>
      <c r="C73" s="247">
        <v>600098508</v>
      </c>
      <c r="D73" s="206">
        <v>70156573</v>
      </c>
      <c r="E73" s="248" t="s">
        <v>363</v>
      </c>
      <c r="F73" s="206">
        <v>3111</v>
      </c>
      <c r="G73" s="248" t="s">
        <v>284</v>
      </c>
      <c r="H73" s="209" t="s">
        <v>263</v>
      </c>
      <c r="I73" s="586">
        <f t="shared" si="136"/>
        <v>0</v>
      </c>
      <c r="J73" s="490"/>
      <c r="K73" s="431">
        <f t="shared" si="137"/>
        <v>0</v>
      </c>
      <c r="L73" s="431">
        <f t="shared" si="138"/>
        <v>0</v>
      </c>
      <c r="M73" s="325">
        <v>0</v>
      </c>
      <c r="N73" s="752"/>
      <c r="O73" s="327">
        <f>V73*-1</f>
        <v>0</v>
      </c>
      <c r="P73" s="492">
        <v>749604</v>
      </c>
      <c r="Q73" s="325">
        <v>0</v>
      </c>
      <c r="R73" s="325">
        <v>0</v>
      </c>
      <c r="S73" s="325">
        <v>0</v>
      </c>
      <c r="T73" s="325">
        <v>0</v>
      </c>
      <c r="U73" s="492">
        <f>O73+P73+Q73+R73+S73+T73</f>
        <v>749604</v>
      </c>
      <c r="V73" s="325">
        <v>0</v>
      </c>
      <c r="W73" s="325">
        <v>0</v>
      </c>
      <c r="X73" s="325">
        <v>0</v>
      </c>
      <c r="Y73" s="492">
        <f t="shared" si="139"/>
        <v>0</v>
      </c>
      <c r="Z73" s="492">
        <f t="shared" si="140"/>
        <v>749604</v>
      </c>
      <c r="AA73" s="494">
        <f t="shared" si="141"/>
        <v>253366</v>
      </c>
      <c r="AB73" s="494">
        <f t="shared" si="142"/>
        <v>7496</v>
      </c>
      <c r="AC73" s="492">
        <v>0</v>
      </c>
      <c r="AD73" s="789">
        <f t="shared" si="143"/>
        <v>1010466</v>
      </c>
      <c r="AE73" s="715">
        <v>0</v>
      </c>
      <c r="AF73" s="491">
        <v>1.8900000000000001</v>
      </c>
      <c r="AG73" s="326">
        <v>0</v>
      </c>
      <c r="AH73" s="326">
        <v>0</v>
      </c>
      <c r="AI73" s="326">
        <v>0</v>
      </c>
      <c r="AJ73" s="326">
        <v>0</v>
      </c>
      <c r="AK73" s="626">
        <f>SUM(AE73:AJ73)</f>
        <v>1.8900000000000001</v>
      </c>
      <c r="AL73" s="696">
        <f>I73+AD73</f>
        <v>1010466</v>
      </c>
      <c r="AM73" s="492">
        <f>J73+U73</f>
        <v>749604</v>
      </c>
      <c r="AN73" s="492">
        <f>Y73</f>
        <v>0</v>
      </c>
      <c r="AO73" s="492">
        <f t="shared" si="144"/>
        <v>253366</v>
      </c>
      <c r="AP73" s="492">
        <f t="shared" si="144"/>
        <v>7496</v>
      </c>
      <c r="AQ73" s="492">
        <f t="shared" si="144"/>
        <v>0</v>
      </c>
      <c r="AR73" s="626">
        <f>N73+AK73</f>
        <v>1.8900000000000001</v>
      </c>
    </row>
    <row r="74" spans="1:44" ht="12.95" customHeight="1" x14ac:dyDescent="0.25">
      <c r="A74" s="249">
        <v>15</v>
      </c>
      <c r="B74" s="250">
        <v>5418</v>
      </c>
      <c r="C74" s="251">
        <v>600098508</v>
      </c>
      <c r="D74" s="250">
        <v>70156573</v>
      </c>
      <c r="E74" s="252" t="s">
        <v>364</v>
      </c>
      <c r="F74" s="216"/>
      <c r="G74" s="254"/>
      <c r="H74" s="217"/>
      <c r="I74" s="686">
        <f t="shared" ref="I74:AR74" si="145">SUM(I72:I73)</f>
        <v>4616133</v>
      </c>
      <c r="J74" s="355">
        <f t="shared" si="145"/>
        <v>3424431</v>
      </c>
      <c r="K74" s="355">
        <f t="shared" si="145"/>
        <v>1157458</v>
      </c>
      <c r="L74" s="355">
        <f t="shared" si="145"/>
        <v>34244</v>
      </c>
      <c r="M74" s="355">
        <f t="shared" ref="M74" si="146">SUM(M72:M73)</f>
        <v>0</v>
      </c>
      <c r="N74" s="816">
        <f t="shared" si="145"/>
        <v>5.6440000000000001</v>
      </c>
      <c r="O74" s="686">
        <f t="shared" si="145"/>
        <v>0</v>
      </c>
      <c r="P74" s="355">
        <f t="shared" si="145"/>
        <v>749604</v>
      </c>
      <c r="Q74" s="355">
        <f t="shared" si="145"/>
        <v>0</v>
      </c>
      <c r="R74" s="355">
        <f t="shared" si="145"/>
        <v>0</v>
      </c>
      <c r="S74" s="355">
        <f t="shared" si="145"/>
        <v>0</v>
      </c>
      <c r="T74" s="355">
        <f t="shared" si="145"/>
        <v>0</v>
      </c>
      <c r="U74" s="355">
        <f t="shared" si="145"/>
        <v>749604</v>
      </c>
      <c r="V74" s="355">
        <f t="shared" si="145"/>
        <v>0</v>
      </c>
      <c r="W74" s="355">
        <f t="shared" si="145"/>
        <v>0</v>
      </c>
      <c r="X74" s="355">
        <f t="shared" si="145"/>
        <v>0</v>
      </c>
      <c r="Y74" s="355">
        <f t="shared" si="145"/>
        <v>0</v>
      </c>
      <c r="Z74" s="355">
        <f t="shared" si="145"/>
        <v>749604</v>
      </c>
      <c r="AA74" s="355">
        <f t="shared" si="145"/>
        <v>253366</v>
      </c>
      <c r="AB74" s="355">
        <f t="shared" si="145"/>
        <v>7496</v>
      </c>
      <c r="AC74" s="355">
        <f t="shared" si="145"/>
        <v>0</v>
      </c>
      <c r="AD74" s="683">
        <f t="shared" si="145"/>
        <v>1010466</v>
      </c>
      <c r="AE74" s="829">
        <v>0</v>
      </c>
      <c r="AF74" s="356">
        <f t="shared" si="145"/>
        <v>1.8900000000000001</v>
      </c>
      <c r="AG74" s="356">
        <f t="shared" si="145"/>
        <v>0</v>
      </c>
      <c r="AH74" s="356">
        <f t="shared" si="145"/>
        <v>0</v>
      </c>
      <c r="AI74" s="356">
        <f t="shared" si="145"/>
        <v>0</v>
      </c>
      <c r="AJ74" s="356">
        <f t="shared" si="145"/>
        <v>0</v>
      </c>
      <c r="AK74" s="253">
        <f t="shared" si="145"/>
        <v>1.8900000000000001</v>
      </c>
      <c r="AL74" s="686">
        <f t="shared" si="145"/>
        <v>5626599</v>
      </c>
      <c r="AM74" s="355">
        <f t="shared" si="145"/>
        <v>4174035</v>
      </c>
      <c r="AN74" s="355">
        <f t="shared" si="145"/>
        <v>0</v>
      </c>
      <c r="AO74" s="355">
        <f t="shared" si="145"/>
        <v>1410824</v>
      </c>
      <c r="AP74" s="355">
        <f t="shared" si="145"/>
        <v>41740</v>
      </c>
      <c r="AQ74" s="355">
        <f t="shared" si="145"/>
        <v>0</v>
      </c>
      <c r="AR74" s="253">
        <f t="shared" si="145"/>
        <v>7.5340000000000007</v>
      </c>
    </row>
    <row r="75" spans="1:44" ht="12.95" customHeight="1" x14ac:dyDescent="0.25">
      <c r="A75" s="205">
        <v>16</v>
      </c>
      <c r="B75" s="246">
        <v>5417</v>
      </c>
      <c r="C75" s="247">
        <v>600099113</v>
      </c>
      <c r="D75" s="206">
        <v>70156565</v>
      </c>
      <c r="E75" s="248" t="s">
        <v>365</v>
      </c>
      <c r="F75" s="206">
        <v>3117</v>
      </c>
      <c r="G75" s="248" t="s">
        <v>280</v>
      </c>
      <c r="H75" s="209" t="s">
        <v>262</v>
      </c>
      <c r="I75" s="627">
        <f t="shared" ref="I75:I77" si="147">SUM(J75:M75)</f>
        <v>5364744</v>
      </c>
      <c r="J75" s="559">
        <v>3979780</v>
      </c>
      <c r="K75" s="431">
        <f t="shared" ref="K75:K77" si="148">ROUND(J75*33.8%,0)</f>
        <v>1345166</v>
      </c>
      <c r="L75" s="431">
        <f t="shared" ref="L75:L77" si="149">ROUND(J75*1%,0)</f>
        <v>39798</v>
      </c>
      <c r="M75" s="325">
        <v>0</v>
      </c>
      <c r="N75" s="751">
        <v>6.1364999999999998</v>
      </c>
      <c r="O75" s="327">
        <f>V75*-1</f>
        <v>-15000</v>
      </c>
      <c r="P75" s="492">
        <v>0</v>
      </c>
      <c r="Q75" s="325">
        <v>0</v>
      </c>
      <c r="R75" s="325">
        <v>0</v>
      </c>
      <c r="S75" s="325">
        <v>0</v>
      </c>
      <c r="T75" s="325">
        <v>0</v>
      </c>
      <c r="U75" s="492">
        <f>O75+P75+Q75+R75+S75+T75</f>
        <v>-15000</v>
      </c>
      <c r="V75" s="325">
        <v>15000</v>
      </c>
      <c r="W75" s="325">
        <v>0</v>
      </c>
      <c r="X75" s="325">
        <v>0</v>
      </c>
      <c r="Y75" s="492">
        <f t="shared" ref="Y75:Y77" si="150">V75+W75+X75</f>
        <v>15000</v>
      </c>
      <c r="Z75" s="492">
        <f t="shared" ref="Z75:Z77" si="151">U75+Y75</f>
        <v>0</v>
      </c>
      <c r="AA75" s="494">
        <f t="shared" ref="AA75:AA77" si="152">ROUND((U75+Y75)*33.8%,0)</f>
        <v>0</v>
      </c>
      <c r="AB75" s="494">
        <f t="shared" ref="AB75:AB77" si="153">ROUND(U75*1%,0)</f>
        <v>-150</v>
      </c>
      <c r="AC75" s="492">
        <v>0</v>
      </c>
      <c r="AD75" s="789">
        <f t="shared" ref="AD75:AD77" si="154">Z75+AA75+AB75+AC75</f>
        <v>-150</v>
      </c>
      <c r="AE75" s="715">
        <v>-0.02</v>
      </c>
      <c r="AF75" s="491">
        <v>0</v>
      </c>
      <c r="AG75" s="326">
        <v>0</v>
      </c>
      <c r="AH75" s="326">
        <v>0</v>
      </c>
      <c r="AI75" s="326">
        <v>0</v>
      </c>
      <c r="AJ75" s="326">
        <v>0</v>
      </c>
      <c r="AK75" s="626">
        <f>SUM(AE75:AJ75)</f>
        <v>-0.02</v>
      </c>
      <c r="AL75" s="696">
        <f>I75+AD75</f>
        <v>5364594</v>
      </c>
      <c r="AM75" s="492">
        <f>J75+U75</f>
        <v>3964780</v>
      </c>
      <c r="AN75" s="492">
        <f>Y75</f>
        <v>15000</v>
      </c>
      <c r="AO75" s="492">
        <f t="shared" ref="AO75:AQ77" si="155">K75+AA75</f>
        <v>1345166</v>
      </c>
      <c r="AP75" s="492">
        <f t="shared" si="155"/>
        <v>39648</v>
      </c>
      <c r="AQ75" s="492">
        <f t="shared" si="155"/>
        <v>0</v>
      </c>
      <c r="AR75" s="626">
        <f>N75+AK75</f>
        <v>6.1165000000000003</v>
      </c>
    </row>
    <row r="76" spans="1:44" ht="12.95" customHeight="1" x14ac:dyDescent="0.25">
      <c r="A76" s="205">
        <v>16</v>
      </c>
      <c r="B76" s="246">
        <v>5417</v>
      </c>
      <c r="C76" s="247">
        <v>600099113</v>
      </c>
      <c r="D76" s="206">
        <v>70156565</v>
      </c>
      <c r="E76" s="248" t="s">
        <v>365</v>
      </c>
      <c r="F76" s="206">
        <v>3117</v>
      </c>
      <c r="G76" s="248" t="s">
        <v>284</v>
      </c>
      <c r="H76" s="209" t="s">
        <v>263</v>
      </c>
      <c r="I76" s="586">
        <f t="shared" si="147"/>
        <v>0</v>
      </c>
      <c r="J76" s="490"/>
      <c r="K76" s="431">
        <f t="shared" si="148"/>
        <v>0</v>
      </c>
      <c r="L76" s="431">
        <f t="shared" si="149"/>
        <v>0</v>
      </c>
      <c r="M76" s="325">
        <v>0</v>
      </c>
      <c r="N76" s="752"/>
      <c r="O76" s="327">
        <f>V76*-1</f>
        <v>0</v>
      </c>
      <c r="P76" s="492">
        <f>1179625</f>
        <v>1179625</v>
      </c>
      <c r="Q76" s="325">
        <v>0</v>
      </c>
      <c r="R76" s="325">
        <v>0</v>
      </c>
      <c r="S76" s="325">
        <v>0</v>
      </c>
      <c r="T76" s="325">
        <v>0</v>
      </c>
      <c r="U76" s="492">
        <f>O76+P76+Q76+R76+S76+T76</f>
        <v>1179625</v>
      </c>
      <c r="V76" s="325">
        <v>0</v>
      </c>
      <c r="W76" s="325">
        <v>0</v>
      </c>
      <c r="X76" s="325">
        <v>0</v>
      </c>
      <c r="Y76" s="492">
        <f t="shared" si="150"/>
        <v>0</v>
      </c>
      <c r="Z76" s="492">
        <f t="shared" si="151"/>
        <v>1179625</v>
      </c>
      <c r="AA76" s="494">
        <f t="shared" si="152"/>
        <v>398713</v>
      </c>
      <c r="AB76" s="494">
        <f t="shared" si="153"/>
        <v>11796</v>
      </c>
      <c r="AC76" s="492">
        <v>0</v>
      </c>
      <c r="AD76" s="789">
        <f t="shared" si="154"/>
        <v>1590134</v>
      </c>
      <c r="AE76" s="715">
        <v>0</v>
      </c>
      <c r="AF76" s="491">
        <v>2.82</v>
      </c>
      <c r="AG76" s="326">
        <v>0</v>
      </c>
      <c r="AH76" s="326">
        <v>0</v>
      </c>
      <c r="AI76" s="326">
        <v>0</v>
      </c>
      <c r="AJ76" s="326">
        <v>0</v>
      </c>
      <c r="AK76" s="626">
        <f>SUM(AE76:AJ76)</f>
        <v>2.82</v>
      </c>
      <c r="AL76" s="696">
        <f>I76+AD76</f>
        <v>1590134</v>
      </c>
      <c r="AM76" s="492">
        <f>J76+U76</f>
        <v>1179625</v>
      </c>
      <c r="AN76" s="492">
        <f>Y76</f>
        <v>0</v>
      </c>
      <c r="AO76" s="492">
        <f t="shared" si="155"/>
        <v>398713</v>
      </c>
      <c r="AP76" s="492">
        <f t="shared" si="155"/>
        <v>11796</v>
      </c>
      <c r="AQ76" s="492">
        <f t="shared" si="155"/>
        <v>0</v>
      </c>
      <c r="AR76" s="626">
        <f>N76+AK76</f>
        <v>2.82</v>
      </c>
    </row>
    <row r="77" spans="1:44" ht="12.95" customHeight="1" x14ac:dyDescent="0.25">
      <c r="A77" s="205">
        <v>16</v>
      </c>
      <c r="B77" s="246">
        <v>5417</v>
      </c>
      <c r="C77" s="247">
        <v>600099113</v>
      </c>
      <c r="D77" s="206">
        <v>70156565</v>
      </c>
      <c r="E77" s="248" t="s">
        <v>365</v>
      </c>
      <c r="F77" s="206">
        <v>3143</v>
      </c>
      <c r="G77" s="248" t="s">
        <v>794</v>
      </c>
      <c r="H77" s="209" t="s">
        <v>262</v>
      </c>
      <c r="I77" s="586">
        <f t="shared" si="147"/>
        <v>929694</v>
      </c>
      <c r="J77" s="490">
        <v>689684</v>
      </c>
      <c r="K77" s="431">
        <f t="shared" si="148"/>
        <v>233113</v>
      </c>
      <c r="L77" s="431">
        <f t="shared" si="149"/>
        <v>6897</v>
      </c>
      <c r="M77" s="325">
        <v>0</v>
      </c>
      <c r="N77" s="752">
        <v>1.3838999999999999</v>
      </c>
      <c r="O77" s="327">
        <f>V77*-1</f>
        <v>0</v>
      </c>
      <c r="P77" s="492">
        <v>0</v>
      </c>
      <c r="Q77" s="325">
        <v>0</v>
      </c>
      <c r="R77" s="325">
        <v>0</v>
      </c>
      <c r="S77" s="325">
        <v>0</v>
      </c>
      <c r="T77" s="325">
        <v>0</v>
      </c>
      <c r="U77" s="492">
        <f>O77+P77+Q77+R77+S77+T77</f>
        <v>0</v>
      </c>
      <c r="V77" s="325">
        <v>0</v>
      </c>
      <c r="W77" s="325">
        <v>0</v>
      </c>
      <c r="X77" s="325">
        <v>0</v>
      </c>
      <c r="Y77" s="492">
        <f t="shared" si="150"/>
        <v>0</v>
      </c>
      <c r="Z77" s="492">
        <f t="shared" si="151"/>
        <v>0</v>
      </c>
      <c r="AA77" s="494">
        <f t="shared" si="152"/>
        <v>0</v>
      </c>
      <c r="AB77" s="494">
        <f t="shared" si="153"/>
        <v>0</v>
      </c>
      <c r="AC77" s="492">
        <v>0</v>
      </c>
      <c r="AD77" s="789">
        <f t="shared" si="154"/>
        <v>0</v>
      </c>
      <c r="AE77" s="715">
        <v>0</v>
      </c>
      <c r="AF77" s="491">
        <v>0</v>
      </c>
      <c r="AG77" s="326">
        <v>0</v>
      </c>
      <c r="AH77" s="326">
        <v>0</v>
      </c>
      <c r="AI77" s="326">
        <v>0</v>
      </c>
      <c r="AJ77" s="326">
        <v>0</v>
      </c>
      <c r="AK77" s="626">
        <f>SUM(AE77:AJ77)</f>
        <v>0</v>
      </c>
      <c r="AL77" s="696">
        <f>I77+AD77</f>
        <v>929694</v>
      </c>
      <c r="AM77" s="492">
        <f>J77+U77</f>
        <v>689684</v>
      </c>
      <c r="AN77" s="492">
        <f>Y77</f>
        <v>0</v>
      </c>
      <c r="AO77" s="492">
        <f t="shared" si="155"/>
        <v>233113</v>
      </c>
      <c r="AP77" s="492">
        <f t="shared" si="155"/>
        <v>6897</v>
      </c>
      <c r="AQ77" s="492">
        <f t="shared" si="155"/>
        <v>0</v>
      </c>
      <c r="AR77" s="626">
        <f>N77+AK77</f>
        <v>1.3838999999999999</v>
      </c>
    </row>
    <row r="78" spans="1:44" ht="12.95" customHeight="1" x14ac:dyDescent="0.25">
      <c r="A78" s="249">
        <v>16</v>
      </c>
      <c r="B78" s="250">
        <v>5417</v>
      </c>
      <c r="C78" s="251">
        <v>600099113</v>
      </c>
      <c r="D78" s="250">
        <v>70156565</v>
      </c>
      <c r="E78" s="252" t="s">
        <v>366</v>
      </c>
      <c r="F78" s="216"/>
      <c r="G78" s="254"/>
      <c r="H78" s="217"/>
      <c r="I78" s="687">
        <f t="shared" ref="I78:AR78" si="156">SUM(I75:I77)</f>
        <v>6294438</v>
      </c>
      <c r="J78" s="357">
        <f t="shared" si="156"/>
        <v>4669464</v>
      </c>
      <c r="K78" s="357">
        <f t="shared" si="156"/>
        <v>1578279</v>
      </c>
      <c r="L78" s="357">
        <f t="shared" si="156"/>
        <v>46695</v>
      </c>
      <c r="M78" s="357">
        <f t="shared" ref="M78" si="157">SUM(M75:M77)</f>
        <v>0</v>
      </c>
      <c r="N78" s="834">
        <f t="shared" si="156"/>
        <v>7.5203999999999995</v>
      </c>
      <c r="O78" s="687">
        <f t="shared" si="156"/>
        <v>-15000</v>
      </c>
      <c r="P78" s="357">
        <f t="shared" si="156"/>
        <v>1179625</v>
      </c>
      <c r="Q78" s="357">
        <f t="shared" si="156"/>
        <v>0</v>
      </c>
      <c r="R78" s="357">
        <f t="shared" si="156"/>
        <v>0</v>
      </c>
      <c r="S78" s="357">
        <f t="shared" si="156"/>
        <v>0</v>
      </c>
      <c r="T78" s="357">
        <f t="shared" si="156"/>
        <v>0</v>
      </c>
      <c r="U78" s="357">
        <f t="shared" si="156"/>
        <v>1164625</v>
      </c>
      <c r="V78" s="357">
        <f t="shared" si="156"/>
        <v>15000</v>
      </c>
      <c r="W78" s="357">
        <f t="shared" si="156"/>
        <v>0</v>
      </c>
      <c r="X78" s="357">
        <f t="shared" si="156"/>
        <v>0</v>
      </c>
      <c r="Y78" s="357">
        <f t="shared" si="156"/>
        <v>15000</v>
      </c>
      <c r="Z78" s="357">
        <f t="shared" si="156"/>
        <v>1179625</v>
      </c>
      <c r="AA78" s="357">
        <f t="shared" si="156"/>
        <v>398713</v>
      </c>
      <c r="AB78" s="357">
        <f t="shared" si="156"/>
        <v>11646</v>
      </c>
      <c r="AC78" s="357">
        <f t="shared" si="156"/>
        <v>0</v>
      </c>
      <c r="AD78" s="684">
        <f t="shared" si="156"/>
        <v>1589984</v>
      </c>
      <c r="AE78" s="836">
        <v>-0.02</v>
      </c>
      <c r="AF78" s="358">
        <f t="shared" si="156"/>
        <v>2.82</v>
      </c>
      <c r="AG78" s="358">
        <f t="shared" si="156"/>
        <v>0</v>
      </c>
      <c r="AH78" s="358">
        <f t="shared" si="156"/>
        <v>0</v>
      </c>
      <c r="AI78" s="358">
        <f t="shared" si="156"/>
        <v>0</v>
      </c>
      <c r="AJ78" s="358">
        <f t="shared" si="156"/>
        <v>0</v>
      </c>
      <c r="AK78" s="258">
        <f t="shared" si="156"/>
        <v>2.8</v>
      </c>
      <c r="AL78" s="687">
        <f t="shared" si="156"/>
        <v>7884422</v>
      </c>
      <c r="AM78" s="357">
        <f t="shared" si="156"/>
        <v>5834089</v>
      </c>
      <c r="AN78" s="357">
        <f t="shared" si="156"/>
        <v>15000</v>
      </c>
      <c r="AO78" s="357">
        <f t="shared" si="156"/>
        <v>1976992</v>
      </c>
      <c r="AP78" s="357">
        <f t="shared" si="156"/>
        <v>58341</v>
      </c>
      <c r="AQ78" s="357">
        <f t="shared" si="156"/>
        <v>0</v>
      </c>
      <c r="AR78" s="258">
        <f t="shared" si="156"/>
        <v>10.320400000000001</v>
      </c>
    </row>
    <row r="79" spans="1:44" ht="12.95" customHeight="1" x14ac:dyDescent="0.25">
      <c r="A79" s="205">
        <v>17</v>
      </c>
      <c r="B79" s="246">
        <v>5420</v>
      </c>
      <c r="C79" s="247">
        <v>600098745</v>
      </c>
      <c r="D79" s="206">
        <v>75016249</v>
      </c>
      <c r="E79" s="248" t="s">
        <v>367</v>
      </c>
      <c r="F79" s="206">
        <v>3111</v>
      </c>
      <c r="G79" s="248" t="s">
        <v>290</v>
      </c>
      <c r="H79" s="209" t="s">
        <v>262</v>
      </c>
      <c r="I79" s="627">
        <f t="shared" ref="I79:I80" si="158">SUM(J79:M79)</f>
        <v>3280698</v>
      </c>
      <c r="J79" s="559">
        <v>2433752</v>
      </c>
      <c r="K79" s="431">
        <f t="shared" ref="K79:K80" si="159">ROUND(J79*33.8%,0)</f>
        <v>822608</v>
      </c>
      <c r="L79" s="431">
        <f t="shared" ref="L79:L80" si="160">ROUND(J79*1%,0)</f>
        <v>24338</v>
      </c>
      <c r="M79" s="325">
        <v>0</v>
      </c>
      <c r="N79" s="751">
        <v>4.0644999999999998</v>
      </c>
      <c r="O79" s="327">
        <f>V79*-1</f>
        <v>0</v>
      </c>
      <c r="P79" s="492">
        <v>0</v>
      </c>
      <c r="Q79" s="325">
        <v>0</v>
      </c>
      <c r="R79" s="325">
        <v>0</v>
      </c>
      <c r="S79" s="325">
        <v>0</v>
      </c>
      <c r="T79" s="325">
        <v>0</v>
      </c>
      <c r="U79" s="492">
        <f>O79+P79+Q79+R79+S79+T79</f>
        <v>0</v>
      </c>
      <c r="V79" s="325">
        <v>0</v>
      </c>
      <c r="W79" s="325">
        <v>0</v>
      </c>
      <c r="X79" s="325">
        <v>0</v>
      </c>
      <c r="Y79" s="492">
        <f t="shared" ref="Y79:Y80" si="161">V79+W79+X79</f>
        <v>0</v>
      </c>
      <c r="Z79" s="492">
        <f t="shared" ref="Z79:Z80" si="162">U79+Y79</f>
        <v>0</v>
      </c>
      <c r="AA79" s="494">
        <f t="shared" ref="AA79:AA80" si="163">ROUND((U79+Y79)*33.8%,0)</f>
        <v>0</v>
      </c>
      <c r="AB79" s="494">
        <f t="shared" ref="AB79:AB80" si="164">ROUND(U79*1%,0)</f>
        <v>0</v>
      </c>
      <c r="AC79" s="492">
        <v>0</v>
      </c>
      <c r="AD79" s="789">
        <f t="shared" ref="AD79:AD80" si="165">Z79+AA79+AB79+AC79</f>
        <v>0</v>
      </c>
      <c r="AE79" s="715">
        <v>0</v>
      </c>
      <c r="AF79" s="491">
        <v>0</v>
      </c>
      <c r="AG79" s="326">
        <v>0</v>
      </c>
      <c r="AH79" s="326">
        <v>0</v>
      </c>
      <c r="AI79" s="326">
        <v>0</v>
      </c>
      <c r="AJ79" s="326">
        <v>0</v>
      </c>
      <c r="AK79" s="626">
        <f>SUM(AE79:AJ79)</f>
        <v>0</v>
      </c>
      <c r="AL79" s="696">
        <f>I79+AD79</f>
        <v>3280698</v>
      </c>
      <c r="AM79" s="492">
        <f>J79+U79</f>
        <v>2433752</v>
      </c>
      <c r="AN79" s="492">
        <f>Y79</f>
        <v>0</v>
      </c>
      <c r="AO79" s="492">
        <f t="shared" ref="AO79:AQ80" si="166">K79+AA79</f>
        <v>822608</v>
      </c>
      <c r="AP79" s="492">
        <f t="shared" si="166"/>
        <v>24338</v>
      </c>
      <c r="AQ79" s="492">
        <f t="shared" si="166"/>
        <v>0</v>
      </c>
      <c r="AR79" s="626">
        <f>N79+AK79</f>
        <v>4.0644999999999998</v>
      </c>
    </row>
    <row r="80" spans="1:44" ht="12.95" customHeight="1" x14ac:dyDescent="0.25">
      <c r="A80" s="205">
        <v>17</v>
      </c>
      <c r="B80" s="246">
        <v>5420</v>
      </c>
      <c r="C80" s="247">
        <v>600098745</v>
      </c>
      <c r="D80" s="206">
        <v>75016249</v>
      </c>
      <c r="E80" s="248" t="s">
        <v>367</v>
      </c>
      <c r="F80" s="206">
        <v>3111</v>
      </c>
      <c r="G80" s="248" t="s">
        <v>284</v>
      </c>
      <c r="H80" s="209" t="s">
        <v>263</v>
      </c>
      <c r="I80" s="586">
        <f t="shared" si="158"/>
        <v>0</v>
      </c>
      <c r="J80" s="490"/>
      <c r="K80" s="431">
        <f t="shared" si="159"/>
        <v>0</v>
      </c>
      <c r="L80" s="431">
        <f t="shared" si="160"/>
        <v>0</v>
      </c>
      <c r="M80" s="325">
        <v>0</v>
      </c>
      <c r="N80" s="752"/>
      <c r="O80" s="327">
        <f>V80*-1</f>
        <v>0</v>
      </c>
      <c r="P80" s="492">
        <v>297636</v>
      </c>
      <c r="Q80" s="325">
        <v>0</v>
      </c>
      <c r="R80" s="325">
        <v>0</v>
      </c>
      <c r="S80" s="325">
        <v>0</v>
      </c>
      <c r="T80" s="325">
        <v>0</v>
      </c>
      <c r="U80" s="492">
        <f>O80+P80+Q80+R80+S80+T80</f>
        <v>297636</v>
      </c>
      <c r="V80" s="325">
        <v>0</v>
      </c>
      <c r="W80" s="325">
        <v>0</v>
      </c>
      <c r="X80" s="325">
        <v>0</v>
      </c>
      <c r="Y80" s="492">
        <f t="shared" si="161"/>
        <v>0</v>
      </c>
      <c r="Z80" s="492">
        <f t="shared" si="162"/>
        <v>297636</v>
      </c>
      <c r="AA80" s="494">
        <f t="shared" si="163"/>
        <v>100601</v>
      </c>
      <c r="AB80" s="494">
        <f t="shared" si="164"/>
        <v>2976</v>
      </c>
      <c r="AC80" s="492">
        <v>0</v>
      </c>
      <c r="AD80" s="789">
        <f t="shared" si="165"/>
        <v>401213</v>
      </c>
      <c r="AE80" s="715">
        <v>0</v>
      </c>
      <c r="AF80" s="491">
        <v>0.75</v>
      </c>
      <c r="AG80" s="326">
        <v>0</v>
      </c>
      <c r="AH80" s="326">
        <v>0</v>
      </c>
      <c r="AI80" s="326">
        <v>0</v>
      </c>
      <c r="AJ80" s="326">
        <v>0</v>
      </c>
      <c r="AK80" s="626">
        <f>SUM(AE80:AJ80)</f>
        <v>0.75</v>
      </c>
      <c r="AL80" s="696">
        <f>I80+AD80</f>
        <v>401213</v>
      </c>
      <c r="AM80" s="492">
        <f>J80+U80</f>
        <v>297636</v>
      </c>
      <c r="AN80" s="492">
        <f>Y80</f>
        <v>0</v>
      </c>
      <c r="AO80" s="492">
        <f t="shared" si="166"/>
        <v>100601</v>
      </c>
      <c r="AP80" s="492">
        <f t="shared" si="166"/>
        <v>2976</v>
      </c>
      <c r="AQ80" s="492">
        <f t="shared" si="166"/>
        <v>0</v>
      </c>
      <c r="AR80" s="626">
        <f>N80+AK80</f>
        <v>0.75</v>
      </c>
    </row>
    <row r="81" spans="1:44" ht="12.95" customHeight="1" x14ac:dyDescent="0.25">
      <c r="A81" s="249">
        <v>17</v>
      </c>
      <c r="B81" s="250">
        <v>5420</v>
      </c>
      <c r="C81" s="251">
        <v>600098745</v>
      </c>
      <c r="D81" s="250">
        <v>75016249</v>
      </c>
      <c r="E81" s="252" t="s">
        <v>368</v>
      </c>
      <c r="F81" s="216"/>
      <c r="G81" s="254"/>
      <c r="H81" s="217"/>
      <c r="I81" s="686">
        <f t="shared" ref="I81:AR81" si="167">SUM(I79:I80)</f>
        <v>3280698</v>
      </c>
      <c r="J81" s="355">
        <f t="shared" si="167"/>
        <v>2433752</v>
      </c>
      <c r="K81" s="355">
        <f t="shared" si="167"/>
        <v>822608</v>
      </c>
      <c r="L81" s="355">
        <f t="shared" si="167"/>
        <v>24338</v>
      </c>
      <c r="M81" s="355">
        <f t="shared" ref="M81" si="168">SUM(M79:M80)</f>
        <v>0</v>
      </c>
      <c r="N81" s="816">
        <f t="shared" si="167"/>
        <v>4.0644999999999998</v>
      </c>
      <c r="O81" s="686">
        <f t="shared" si="167"/>
        <v>0</v>
      </c>
      <c r="P81" s="355">
        <f t="shared" si="167"/>
        <v>297636</v>
      </c>
      <c r="Q81" s="355">
        <f t="shared" si="167"/>
        <v>0</v>
      </c>
      <c r="R81" s="355">
        <f t="shared" si="167"/>
        <v>0</v>
      </c>
      <c r="S81" s="355">
        <f t="shared" si="167"/>
        <v>0</v>
      </c>
      <c r="T81" s="355">
        <f t="shared" si="167"/>
        <v>0</v>
      </c>
      <c r="U81" s="355">
        <f t="shared" si="167"/>
        <v>297636</v>
      </c>
      <c r="V81" s="355">
        <f t="shared" si="167"/>
        <v>0</v>
      </c>
      <c r="W81" s="355">
        <f t="shared" si="167"/>
        <v>0</v>
      </c>
      <c r="X81" s="355">
        <f t="shared" si="167"/>
        <v>0</v>
      </c>
      <c r="Y81" s="355">
        <f t="shared" si="167"/>
        <v>0</v>
      </c>
      <c r="Z81" s="355">
        <f t="shared" si="167"/>
        <v>297636</v>
      </c>
      <c r="AA81" s="355">
        <f t="shared" si="167"/>
        <v>100601</v>
      </c>
      <c r="AB81" s="355">
        <f t="shared" si="167"/>
        <v>2976</v>
      </c>
      <c r="AC81" s="355">
        <f t="shared" si="167"/>
        <v>0</v>
      </c>
      <c r="AD81" s="683">
        <f t="shared" si="167"/>
        <v>401213</v>
      </c>
      <c r="AE81" s="829">
        <v>0</v>
      </c>
      <c r="AF81" s="356">
        <f t="shared" si="167"/>
        <v>0.75</v>
      </c>
      <c r="AG81" s="356">
        <f t="shared" si="167"/>
        <v>0</v>
      </c>
      <c r="AH81" s="356">
        <f t="shared" si="167"/>
        <v>0</v>
      </c>
      <c r="AI81" s="356">
        <f t="shared" si="167"/>
        <v>0</v>
      </c>
      <c r="AJ81" s="356">
        <f t="shared" si="167"/>
        <v>0</v>
      </c>
      <c r="AK81" s="253">
        <f t="shared" si="167"/>
        <v>0.75</v>
      </c>
      <c r="AL81" s="686">
        <f t="shared" si="167"/>
        <v>3681911</v>
      </c>
      <c r="AM81" s="355">
        <f t="shared" si="167"/>
        <v>2731388</v>
      </c>
      <c r="AN81" s="355">
        <f t="shared" si="167"/>
        <v>0</v>
      </c>
      <c r="AO81" s="355">
        <f t="shared" si="167"/>
        <v>923209</v>
      </c>
      <c r="AP81" s="355">
        <f t="shared" si="167"/>
        <v>27314</v>
      </c>
      <c r="AQ81" s="355">
        <f t="shared" si="167"/>
        <v>0</v>
      </c>
      <c r="AR81" s="253">
        <f t="shared" si="167"/>
        <v>4.8144999999999998</v>
      </c>
    </row>
    <row r="82" spans="1:44" ht="12.95" customHeight="1" x14ac:dyDescent="0.25">
      <c r="A82" s="205">
        <v>18</v>
      </c>
      <c r="B82" s="246">
        <v>5419</v>
      </c>
      <c r="C82" s="247">
        <v>600099261</v>
      </c>
      <c r="D82" s="206">
        <v>70946752</v>
      </c>
      <c r="E82" s="248" t="s">
        <v>369</v>
      </c>
      <c r="F82" s="206">
        <v>3113</v>
      </c>
      <c r="G82" s="248" t="s">
        <v>294</v>
      </c>
      <c r="H82" s="209" t="s">
        <v>262</v>
      </c>
      <c r="I82" s="627">
        <f t="shared" ref="I82:I84" si="169">SUM(J82:M82)</f>
        <v>12222896</v>
      </c>
      <c r="J82" s="559">
        <v>9067430</v>
      </c>
      <c r="K82" s="431">
        <f>ROUND(J82*33.8%,0)+1</f>
        <v>3064792</v>
      </c>
      <c r="L82" s="431">
        <f t="shared" ref="L82:L84" si="170">ROUND(J82*1%,0)</f>
        <v>90674</v>
      </c>
      <c r="M82" s="325">
        <v>0</v>
      </c>
      <c r="N82" s="751">
        <v>13.954599999999999</v>
      </c>
      <c r="O82" s="327">
        <f>V82*-1</f>
        <v>-10200</v>
      </c>
      <c r="P82" s="492">
        <v>0</v>
      </c>
      <c r="Q82" s="325">
        <v>0</v>
      </c>
      <c r="R82" s="325">
        <v>0</v>
      </c>
      <c r="S82" s="325">
        <v>0</v>
      </c>
      <c r="T82" s="325">
        <v>0</v>
      </c>
      <c r="U82" s="492">
        <f>O82+P82+Q82+R82+S82+T82</f>
        <v>-10200</v>
      </c>
      <c r="V82" s="325">
        <v>10200</v>
      </c>
      <c r="W82" s="325">
        <v>0</v>
      </c>
      <c r="X82" s="325">
        <v>0</v>
      </c>
      <c r="Y82" s="492">
        <f t="shared" ref="Y82:Y84" si="171">V82+W82+X82</f>
        <v>10200</v>
      </c>
      <c r="Z82" s="492">
        <f t="shared" ref="Z82:Z84" si="172">U82+Y82</f>
        <v>0</v>
      </c>
      <c r="AA82" s="494">
        <f t="shared" ref="AA82:AA84" si="173">ROUND((U82+Y82)*33.8%,0)</f>
        <v>0</v>
      </c>
      <c r="AB82" s="494">
        <f t="shared" ref="AB82:AB84" si="174">ROUND(U82*1%,0)</f>
        <v>-102</v>
      </c>
      <c r="AC82" s="492">
        <v>0</v>
      </c>
      <c r="AD82" s="789">
        <f t="shared" ref="AD82:AD84" si="175">Z82+AA82+AB82+AC82</f>
        <v>-102</v>
      </c>
      <c r="AE82" s="715">
        <v>-0.01</v>
      </c>
      <c r="AF82" s="491">
        <v>0</v>
      </c>
      <c r="AG82" s="326">
        <v>0</v>
      </c>
      <c r="AH82" s="326">
        <v>0</v>
      </c>
      <c r="AI82" s="326">
        <v>0</v>
      </c>
      <c r="AJ82" s="326">
        <v>0</v>
      </c>
      <c r="AK82" s="626">
        <f>SUM(AE82:AJ82)</f>
        <v>-0.01</v>
      </c>
      <c r="AL82" s="696">
        <f>I82+AD82</f>
        <v>12222794</v>
      </c>
      <c r="AM82" s="492">
        <f>J82+U82</f>
        <v>9057230</v>
      </c>
      <c r="AN82" s="492">
        <f>Y82</f>
        <v>10200</v>
      </c>
      <c r="AO82" s="492">
        <f t="shared" ref="AO82:AQ84" si="176">K82+AA82</f>
        <v>3064792</v>
      </c>
      <c r="AP82" s="492">
        <f t="shared" si="176"/>
        <v>90572</v>
      </c>
      <c r="AQ82" s="492">
        <f t="shared" si="176"/>
        <v>0</v>
      </c>
      <c r="AR82" s="626">
        <f>N82+AK82</f>
        <v>13.944599999999999</v>
      </c>
    </row>
    <row r="83" spans="1:44" ht="12.95" customHeight="1" x14ac:dyDescent="0.25">
      <c r="A83" s="205">
        <v>18</v>
      </c>
      <c r="B83" s="246">
        <v>5419</v>
      </c>
      <c r="C83" s="247">
        <v>600099261</v>
      </c>
      <c r="D83" s="206">
        <v>70946752</v>
      </c>
      <c r="E83" s="248" t="s">
        <v>369</v>
      </c>
      <c r="F83" s="206">
        <v>3113</v>
      </c>
      <c r="G83" s="248" t="s">
        <v>284</v>
      </c>
      <c r="H83" s="209" t="s">
        <v>263</v>
      </c>
      <c r="I83" s="586">
        <f t="shared" si="169"/>
        <v>0</v>
      </c>
      <c r="J83" s="490"/>
      <c r="K83" s="431">
        <f t="shared" ref="K83:K84" si="177">ROUND(J83*33.8%,0)</f>
        <v>0</v>
      </c>
      <c r="L83" s="431">
        <f t="shared" si="170"/>
        <v>0</v>
      </c>
      <c r="M83" s="325">
        <v>0</v>
      </c>
      <c r="N83" s="752"/>
      <c r="O83" s="327">
        <f>V83*-1</f>
        <v>0</v>
      </c>
      <c r="P83" s="492">
        <f>914330</f>
        <v>914330</v>
      </c>
      <c r="Q83" s="325">
        <v>0</v>
      </c>
      <c r="R83" s="325">
        <v>0</v>
      </c>
      <c r="S83" s="325">
        <v>0</v>
      </c>
      <c r="T83" s="325">
        <v>0</v>
      </c>
      <c r="U83" s="492">
        <f>O83+P83+Q83+R83+S83+T83</f>
        <v>914330</v>
      </c>
      <c r="V83" s="325">
        <v>0</v>
      </c>
      <c r="W83" s="325">
        <v>0</v>
      </c>
      <c r="X83" s="325">
        <v>0</v>
      </c>
      <c r="Y83" s="492">
        <f t="shared" si="171"/>
        <v>0</v>
      </c>
      <c r="Z83" s="492">
        <f t="shared" si="172"/>
        <v>914330</v>
      </c>
      <c r="AA83" s="494">
        <f t="shared" si="173"/>
        <v>309044</v>
      </c>
      <c r="AB83" s="494">
        <f t="shared" si="174"/>
        <v>9143</v>
      </c>
      <c r="AC83" s="492">
        <v>0</v>
      </c>
      <c r="AD83" s="789">
        <f t="shared" si="175"/>
        <v>1232517</v>
      </c>
      <c r="AE83" s="715">
        <v>0</v>
      </c>
      <c r="AF83" s="491">
        <v>2.29</v>
      </c>
      <c r="AG83" s="326">
        <v>0</v>
      </c>
      <c r="AH83" s="326">
        <v>0</v>
      </c>
      <c r="AI83" s="326">
        <v>0</v>
      </c>
      <c r="AJ83" s="326">
        <v>0</v>
      </c>
      <c r="AK83" s="626">
        <f>SUM(AE83:AJ83)</f>
        <v>2.29</v>
      </c>
      <c r="AL83" s="696">
        <f>I83+AD83</f>
        <v>1232517</v>
      </c>
      <c r="AM83" s="492">
        <f>J83+U83</f>
        <v>914330</v>
      </c>
      <c r="AN83" s="492">
        <f>Y83</f>
        <v>0</v>
      </c>
      <c r="AO83" s="492">
        <f t="shared" si="176"/>
        <v>309044</v>
      </c>
      <c r="AP83" s="492">
        <f t="shared" si="176"/>
        <v>9143</v>
      </c>
      <c r="AQ83" s="492">
        <f t="shared" si="176"/>
        <v>0</v>
      </c>
      <c r="AR83" s="626">
        <f>N83+AK83</f>
        <v>2.29</v>
      </c>
    </row>
    <row r="84" spans="1:44" ht="12.95" customHeight="1" x14ac:dyDescent="0.25">
      <c r="A84" s="205">
        <v>18</v>
      </c>
      <c r="B84" s="246">
        <v>5419</v>
      </c>
      <c r="C84" s="247">
        <v>600099261</v>
      </c>
      <c r="D84" s="206">
        <v>70946752</v>
      </c>
      <c r="E84" s="248" t="s">
        <v>369</v>
      </c>
      <c r="F84" s="206">
        <v>3143</v>
      </c>
      <c r="G84" s="248" t="s">
        <v>794</v>
      </c>
      <c r="H84" s="209" t="s">
        <v>262</v>
      </c>
      <c r="I84" s="586">
        <f t="shared" si="169"/>
        <v>672908</v>
      </c>
      <c r="J84" s="490">
        <v>499190</v>
      </c>
      <c r="K84" s="431">
        <f t="shared" si="177"/>
        <v>168726</v>
      </c>
      <c r="L84" s="431">
        <f t="shared" si="170"/>
        <v>4992</v>
      </c>
      <c r="M84" s="325">
        <v>0</v>
      </c>
      <c r="N84" s="752">
        <v>0.91669999999999996</v>
      </c>
      <c r="O84" s="327">
        <f>V84*-1</f>
        <v>-3000</v>
      </c>
      <c r="P84" s="492">
        <v>0</v>
      </c>
      <c r="Q84" s="325">
        <v>0</v>
      </c>
      <c r="R84" s="325">
        <v>0</v>
      </c>
      <c r="S84" s="325">
        <v>0</v>
      </c>
      <c r="T84" s="325">
        <v>0</v>
      </c>
      <c r="U84" s="492">
        <f>O84+P84+Q84+R84+S84+T84</f>
        <v>-3000</v>
      </c>
      <c r="V84" s="325">
        <v>3000</v>
      </c>
      <c r="W84" s="325">
        <v>0</v>
      </c>
      <c r="X84" s="325">
        <v>0</v>
      </c>
      <c r="Y84" s="492">
        <f t="shared" si="171"/>
        <v>3000</v>
      </c>
      <c r="Z84" s="492">
        <f t="shared" si="172"/>
        <v>0</v>
      </c>
      <c r="AA84" s="494">
        <f t="shared" si="173"/>
        <v>0</v>
      </c>
      <c r="AB84" s="494">
        <f t="shared" si="174"/>
        <v>-30</v>
      </c>
      <c r="AC84" s="492">
        <v>0</v>
      </c>
      <c r="AD84" s="789">
        <f t="shared" si="175"/>
        <v>-30</v>
      </c>
      <c r="AE84" s="715">
        <v>0</v>
      </c>
      <c r="AF84" s="491">
        <v>0</v>
      </c>
      <c r="AG84" s="326">
        <v>0</v>
      </c>
      <c r="AH84" s="326">
        <v>0</v>
      </c>
      <c r="AI84" s="326">
        <v>0</v>
      </c>
      <c r="AJ84" s="326">
        <v>0</v>
      </c>
      <c r="AK84" s="626">
        <f>SUM(AE84:AJ84)</f>
        <v>0</v>
      </c>
      <c r="AL84" s="696">
        <f>I84+AD84</f>
        <v>672878</v>
      </c>
      <c r="AM84" s="492">
        <f>J84+U84</f>
        <v>496190</v>
      </c>
      <c r="AN84" s="492">
        <f>Y84</f>
        <v>3000</v>
      </c>
      <c r="AO84" s="492">
        <f t="shared" si="176"/>
        <v>168726</v>
      </c>
      <c r="AP84" s="492">
        <f t="shared" si="176"/>
        <v>4962</v>
      </c>
      <c r="AQ84" s="492">
        <f t="shared" si="176"/>
        <v>0</v>
      </c>
      <c r="AR84" s="626">
        <f>N84+AK84</f>
        <v>0.91669999999999996</v>
      </c>
    </row>
    <row r="85" spans="1:44" ht="12.95" customHeight="1" x14ac:dyDescent="0.25">
      <c r="A85" s="249">
        <v>18</v>
      </c>
      <c r="B85" s="250">
        <v>5419</v>
      </c>
      <c r="C85" s="251">
        <v>600099261</v>
      </c>
      <c r="D85" s="250">
        <v>70946752</v>
      </c>
      <c r="E85" s="252" t="s">
        <v>370</v>
      </c>
      <c r="F85" s="216"/>
      <c r="G85" s="254"/>
      <c r="H85" s="217"/>
      <c r="I85" s="687">
        <f t="shared" ref="I85:AR85" si="178">SUM(I82:I84)</f>
        <v>12895804</v>
      </c>
      <c r="J85" s="357">
        <f t="shared" si="178"/>
        <v>9566620</v>
      </c>
      <c r="K85" s="357">
        <f t="shared" si="178"/>
        <v>3233518</v>
      </c>
      <c r="L85" s="357">
        <f t="shared" si="178"/>
        <v>95666</v>
      </c>
      <c r="M85" s="357">
        <f t="shared" ref="M85" si="179">SUM(M82:M84)</f>
        <v>0</v>
      </c>
      <c r="N85" s="834">
        <f t="shared" si="178"/>
        <v>14.8713</v>
      </c>
      <c r="O85" s="687">
        <f t="shared" si="178"/>
        <v>-13200</v>
      </c>
      <c r="P85" s="357">
        <f t="shared" si="178"/>
        <v>914330</v>
      </c>
      <c r="Q85" s="357">
        <f t="shared" si="178"/>
        <v>0</v>
      </c>
      <c r="R85" s="357">
        <f t="shared" si="178"/>
        <v>0</v>
      </c>
      <c r="S85" s="357">
        <f t="shared" si="178"/>
        <v>0</v>
      </c>
      <c r="T85" s="357">
        <f t="shared" si="178"/>
        <v>0</v>
      </c>
      <c r="U85" s="357">
        <f t="shared" si="178"/>
        <v>901130</v>
      </c>
      <c r="V85" s="357">
        <f t="shared" si="178"/>
        <v>13200</v>
      </c>
      <c r="W85" s="357">
        <f t="shared" si="178"/>
        <v>0</v>
      </c>
      <c r="X85" s="357">
        <f t="shared" si="178"/>
        <v>0</v>
      </c>
      <c r="Y85" s="357">
        <f t="shared" si="178"/>
        <v>13200</v>
      </c>
      <c r="Z85" s="357">
        <f t="shared" si="178"/>
        <v>914330</v>
      </c>
      <c r="AA85" s="357">
        <f t="shared" si="178"/>
        <v>309044</v>
      </c>
      <c r="AB85" s="357">
        <f t="shared" si="178"/>
        <v>9011</v>
      </c>
      <c r="AC85" s="357">
        <f t="shared" si="178"/>
        <v>0</v>
      </c>
      <c r="AD85" s="684">
        <f t="shared" si="178"/>
        <v>1232385</v>
      </c>
      <c r="AE85" s="836">
        <v>-0.01</v>
      </c>
      <c r="AF85" s="358">
        <f t="shared" si="178"/>
        <v>2.29</v>
      </c>
      <c r="AG85" s="358">
        <f t="shared" si="178"/>
        <v>0</v>
      </c>
      <c r="AH85" s="358">
        <f t="shared" si="178"/>
        <v>0</v>
      </c>
      <c r="AI85" s="358">
        <f t="shared" si="178"/>
        <v>0</v>
      </c>
      <c r="AJ85" s="358">
        <f t="shared" si="178"/>
        <v>0</v>
      </c>
      <c r="AK85" s="258">
        <f t="shared" si="178"/>
        <v>2.2800000000000002</v>
      </c>
      <c r="AL85" s="687">
        <f t="shared" si="178"/>
        <v>14128189</v>
      </c>
      <c r="AM85" s="357">
        <f t="shared" si="178"/>
        <v>10467750</v>
      </c>
      <c r="AN85" s="357">
        <f t="shared" si="178"/>
        <v>13200</v>
      </c>
      <c r="AO85" s="357">
        <f t="shared" si="178"/>
        <v>3542562</v>
      </c>
      <c r="AP85" s="357">
        <f t="shared" si="178"/>
        <v>104677</v>
      </c>
      <c r="AQ85" s="357">
        <f t="shared" si="178"/>
        <v>0</v>
      </c>
      <c r="AR85" s="258">
        <f t="shared" si="178"/>
        <v>17.151299999999999</v>
      </c>
    </row>
    <row r="86" spans="1:44" ht="12.95" customHeight="1" x14ac:dyDescent="0.25">
      <c r="A86" s="205">
        <v>19</v>
      </c>
      <c r="B86" s="246">
        <v>5425</v>
      </c>
      <c r="C86" s="255">
        <v>600099521</v>
      </c>
      <c r="D86" s="206">
        <v>854859</v>
      </c>
      <c r="E86" s="248" t="s">
        <v>371</v>
      </c>
      <c r="F86" s="206">
        <v>3233</v>
      </c>
      <c r="G86" s="248" t="s">
        <v>372</v>
      </c>
      <c r="H86" s="209" t="s">
        <v>263</v>
      </c>
      <c r="I86" s="627">
        <f>SUM(J86:M86)</f>
        <v>2458182</v>
      </c>
      <c r="J86" s="559">
        <v>1823576</v>
      </c>
      <c r="K86" s="431">
        <f>ROUND(J86*33.8%,0)+1</f>
        <v>616370</v>
      </c>
      <c r="L86" s="431">
        <f>ROUND(J86*1%,0)</f>
        <v>18236</v>
      </c>
      <c r="M86" s="325">
        <v>0</v>
      </c>
      <c r="N86" s="751">
        <v>3.09</v>
      </c>
      <c r="O86" s="327">
        <f>V86*-1</f>
        <v>0</v>
      </c>
      <c r="P86" s="492">
        <v>0</v>
      </c>
      <c r="Q86" s="325">
        <v>0</v>
      </c>
      <c r="R86" s="325">
        <v>0</v>
      </c>
      <c r="S86" s="325">
        <v>0</v>
      </c>
      <c r="T86" s="325">
        <v>0</v>
      </c>
      <c r="U86" s="492">
        <f>O86+P86+Q86+R86+S86+T86</f>
        <v>0</v>
      </c>
      <c r="V86" s="325">
        <v>0</v>
      </c>
      <c r="W86" s="325">
        <v>0</v>
      </c>
      <c r="X86" s="325">
        <v>0</v>
      </c>
      <c r="Y86" s="492">
        <f>V86+W86+X86</f>
        <v>0</v>
      </c>
      <c r="Z86" s="492">
        <f>U86+Y86</f>
        <v>0</v>
      </c>
      <c r="AA86" s="494">
        <f>ROUND((U86+Y86)*33.8%,0)</f>
        <v>0</v>
      </c>
      <c r="AB86" s="494">
        <f>ROUND(U86*1%,0)</f>
        <v>0</v>
      </c>
      <c r="AC86" s="492">
        <v>0</v>
      </c>
      <c r="AD86" s="789">
        <f>Z86+AA86+AB86+AC86</f>
        <v>0</v>
      </c>
      <c r="AE86" s="715">
        <v>0</v>
      </c>
      <c r="AF86" s="491">
        <v>0</v>
      </c>
      <c r="AG86" s="326">
        <v>0</v>
      </c>
      <c r="AH86" s="326">
        <v>0</v>
      </c>
      <c r="AI86" s="326">
        <v>0</v>
      </c>
      <c r="AJ86" s="326">
        <v>0</v>
      </c>
      <c r="AK86" s="626">
        <f>SUM(AE86:AJ86)</f>
        <v>0</v>
      </c>
      <c r="AL86" s="696">
        <f>I86+AD86</f>
        <v>2458182</v>
      </c>
      <c r="AM86" s="492">
        <f>J86+U86</f>
        <v>1823576</v>
      </c>
      <c r="AN86" s="492">
        <f>Y86</f>
        <v>0</v>
      </c>
      <c r="AO86" s="492">
        <f>K86+AA86</f>
        <v>616370</v>
      </c>
      <c r="AP86" s="492">
        <f>L86+AB86</f>
        <v>18236</v>
      </c>
      <c r="AQ86" s="492">
        <f>M86+AC86</f>
        <v>0</v>
      </c>
      <c r="AR86" s="626">
        <f>N86+AK86</f>
        <v>3.09</v>
      </c>
    </row>
    <row r="87" spans="1:44" ht="12.95" customHeight="1" x14ac:dyDescent="0.25">
      <c r="A87" s="249">
        <v>19</v>
      </c>
      <c r="B87" s="250">
        <v>5425</v>
      </c>
      <c r="C87" s="251">
        <v>600099521</v>
      </c>
      <c r="D87" s="250">
        <v>854859</v>
      </c>
      <c r="E87" s="252" t="s">
        <v>373</v>
      </c>
      <c r="F87" s="216"/>
      <c r="G87" s="254"/>
      <c r="H87" s="217"/>
      <c r="I87" s="686">
        <f t="shared" ref="I87:AR87" si="180">SUM(I86)</f>
        <v>2458182</v>
      </c>
      <c r="J87" s="355">
        <f t="shared" si="180"/>
        <v>1823576</v>
      </c>
      <c r="K87" s="355">
        <f t="shared" si="180"/>
        <v>616370</v>
      </c>
      <c r="L87" s="355">
        <f t="shared" si="180"/>
        <v>18236</v>
      </c>
      <c r="M87" s="355">
        <f t="shared" ref="M87" si="181">SUM(M86)</f>
        <v>0</v>
      </c>
      <c r="N87" s="816">
        <f t="shared" si="180"/>
        <v>3.09</v>
      </c>
      <c r="O87" s="686">
        <f t="shared" si="180"/>
        <v>0</v>
      </c>
      <c r="P87" s="355">
        <f t="shared" si="180"/>
        <v>0</v>
      </c>
      <c r="Q87" s="355">
        <f t="shared" si="180"/>
        <v>0</v>
      </c>
      <c r="R87" s="355">
        <f t="shared" si="180"/>
        <v>0</v>
      </c>
      <c r="S87" s="355">
        <f t="shared" si="180"/>
        <v>0</v>
      </c>
      <c r="T87" s="355">
        <f t="shared" si="180"/>
        <v>0</v>
      </c>
      <c r="U87" s="355">
        <f t="shared" si="180"/>
        <v>0</v>
      </c>
      <c r="V87" s="355">
        <f t="shared" si="180"/>
        <v>0</v>
      </c>
      <c r="W87" s="355">
        <f t="shared" si="180"/>
        <v>0</v>
      </c>
      <c r="X87" s="355">
        <f t="shared" si="180"/>
        <v>0</v>
      </c>
      <c r="Y87" s="355">
        <f t="shared" si="180"/>
        <v>0</v>
      </c>
      <c r="Z87" s="355">
        <f t="shared" si="180"/>
        <v>0</v>
      </c>
      <c r="AA87" s="355">
        <f t="shared" si="180"/>
        <v>0</v>
      </c>
      <c r="AB87" s="355">
        <f t="shared" si="180"/>
        <v>0</v>
      </c>
      <c r="AC87" s="355">
        <f t="shared" si="180"/>
        <v>0</v>
      </c>
      <c r="AD87" s="683">
        <f t="shared" si="180"/>
        <v>0</v>
      </c>
      <c r="AE87" s="829">
        <v>0</v>
      </c>
      <c r="AF87" s="356">
        <f t="shared" si="180"/>
        <v>0</v>
      </c>
      <c r="AG87" s="356">
        <f t="shared" si="180"/>
        <v>0</v>
      </c>
      <c r="AH87" s="356">
        <f t="shared" si="180"/>
        <v>0</v>
      </c>
      <c r="AI87" s="356">
        <f t="shared" si="180"/>
        <v>0</v>
      </c>
      <c r="AJ87" s="356">
        <f t="shared" si="180"/>
        <v>0</v>
      </c>
      <c r="AK87" s="253">
        <f t="shared" si="180"/>
        <v>0</v>
      </c>
      <c r="AL87" s="686">
        <f t="shared" si="180"/>
        <v>2458182</v>
      </c>
      <c r="AM87" s="355">
        <f t="shared" si="180"/>
        <v>1823576</v>
      </c>
      <c r="AN87" s="355">
        <f t="shared" si="180"/>
        <v>0</v>
      </c>
      <c r="AO87" s="355">
        <f t="shared" si="180"/>
        <v>616370</v>
      </c>
      <c r="AP87" s="355">
        <f t="shared" si="180"/>
        <v>18236</v>
      </c>
      <c r="AQ87" s="355">
        <f t="shared" si="180"/>
        <v>0</v>
      </c>
      <c r="AR87" s="253">
        <f t="shared" si="180"/>
        <v>3.09</v>
      </c>
    </row>
    <row r="88" spans="1:44" ht="12.95" customHeight="1" x14ac:dyDescent="0.25">
      <c r="A88" s="205">
        <v>20</v>
      </c>
      <c r="B88" s="246">
        <v>5426</v>
      </c>
      <c r="C88" s="247">
        <v>600098761</v>
      </c>
      <c r="D88" s="206">
        <v>72742615</v>
      </c>
      <c r="E88" s="248" t="s">
        <v>374</v>
      </c>
      <c r="F88" s="206">
        <v>3111</v>
      </c>
      <c r="G88" s="248" t="s">
        <v>290</v>
      </c>
      <c r="H88" s="209" t="s">
        <v>262</v>
      </c>
      <c r="I88" s="627">
        <f t="shared" ref="I88:I89" si="182">SUM(J88:M88)</f>
        <v>6369516</v>
      </c>
      <c r="J88" s="559">
        <v>4725160</v>
      </c>
      <c r="K88" s="431">
        <f t="shared" ref="K88:K89" si="183">ROUND(J88*33.8%,0)</f>
        <v>1597104</v>
      </c>
      <c r="L88" s="431">
        <f t="shared" ref="L88:L89" si="184">ROUND(J88*1%,0)</f>
        <v>47252</v>
      </c>
      <c r="M88" s="325">
        <v>0</v>
      </c>
      <c r="N88" s="751">
        <v>8</v>
      </c>
      <c r="O88" s="327">
        <f>V88*-1</f>
        <v>0</v>
      </c>
      <c r="P88" s="492">
        <v>0</v>
      </c>
      <c r="Q88" s="325">
        <v>0</v>
      </c>
      <c r="R88" s="325">
        <v>0</v>
      </c>
      <c r="S88" s="325">
        <v>0</v>
      </c>
      <c r="T88" s="325">
        <v>0</v>
      </c>
      <c r="U88" s="492">
        <f>O88+P88+Q88+R88+S88+T88</f>
        <v>0</v>
      </c>
      <c r="V88" s="325">
        <v>0</v>
      </c>
      <c r="W88" s="325">
        <v>0</v>
      </c>
      <c r="X88" s="325">
        <v>0</v>
      </c>
      <c r="Y88" s="492">
        <f t="shared" ref="Y88:Y89" si="185">V88+W88+X88</f>
        <v>0</v>
      </c>
      <c r="Z88" s="492">
        <f t="shared" ref="Z88:Z89" si="186">U88+Y88</f>
        <v>0</v>
      </c>
      <c r="AA88" s="494">
        <f t="shared" ref="AA88:AA89" si="187">ROUND((U88+Y88)*33.8%,0)</f>
        <v>0</v>
      </c>
      <c r="AB88" s="494">
        <f t="shared" ref="AB88:AB89" si="188">ROUND(U88*1%,0)</f>
        <v>0</v>
      </c>
      <c r="AC88" s="492">
        <v>0</v>
      </c>
      <c r="AD88" s="789">
        <f t="shared" ref="AD88:AD89" si="189">Z88+AA88+AB88+AC88</f>
        <v>0</v>
      </c>
      <c r="AE88" s="715">
        <v>0</v>
      </c>
      <c r="AF88" s="491">
        <v>0</v>
      </c>
      <c r="AG88" s="326">
        <v>0</v>
      </c>
      <c r="AH88" s="326">
        <v>0</v>
      </c>
      <c r="AI88" s="326">
        <v>0</v>
      </c>
      <c r="AJ88" s="326">
        <v>0</v>
      </c>
      <c r="AK88" s="626">
        <f>SUM(AE88:AJ88)</f>
        <v>0</v>
      </c>
      <c r="AL88" s="696">
        <f>I88+AD88</f>
        <v>6369516</v>
      </c>
      <c r="AM88" s="492">
        <f>J88+U88</f>
        <v>4725160</v>
      </c>
      <c r="AN88" s="492">
        <f>Y88</f>
        <v>0</v>
      </c>
      <c r="AO88" s="492">
        <f t="shared" ref="AO88:AQ89" si="190">K88+AA88</f>
        <v>1597104</v>
      </c>
      <c r="AP88" s="492">
        <f t="shared" si="190"/>
        <v>47252</v>
      </c>
      <c r="AQ88" s="492">
        <f t="shared" si="190"/>
        <v>0</v>
      </c>
      <c r="AR88" s="626">
        <f>N88+AK88</f>
        <v>8</v>
      </c>
    </row>
    <row r="89" spans="1:44" ht="12.95" customHeight="1" x14ac:dyDescent="0.25">
      <c r="A89" s="205">
        <v>20</v>
      </c>
      <c r="B89" s="246">
        <v>5426</v>
      </c>
      <c r="C89" s="247">
        <v>600098761</v>
      </c>
      <c r="D89" s="206">
        <v>72742615</v>
      </c>
      <c r="E89" s="248" t="s">
        <v>374</v>
      </c>
      <c r="F89" s="206">
        <v>3111</v>
      </c>
      <c r="G89" s="256" t="s">
        <v>284</v>
      </c>
      <c r="H89" s="209" t="s">
        <v>263</v>
      </c>
      <c r="I89" s="586">
        <f t="shared" si="182"/>
        <v>0</v>
      </c>
      <c r="J89" s="490"/>
      <c r="K89" s="431">
        <f t="shared" si="183"/>
        <v>0</v>
      </c>
      <c r="L89" s="431">
        <f t="shared" si="184"/>
        <v>0</v>
      </c>
      <c r="M89" s="325">
        <v>0</v>
      </c>
      <c r="N89" s="752"/>
      <c r="O89" s="327">
        <f>V89*-1</f>
        <v>0</v>
      </c>
      <c r="P89" s="492">
        <v>1045098</v>
      </c>
      <c r="Q89" s="325">
        <v>0</v>
      </c>
      <c r="R89" s="325">
        <v>0</v>
      </c>
      <c r="S89" s="325">
        <v>0</v>
      </c>
      <c r="T89" s="325">
        <v>0</v>
      </c>
      <c r="U89" s="492">
        <f>O89+P89+Q89+R89+S89+T89</f>
        <v>1045098</v>
      </c>
      <c r="V89" s="325">
        <v>0</v>
      </c>
      <c r="W89" s="325">
        <v>0</v>
      </c>
      <c r="X89" s="325">
        <v>0</v>
      </c>
      <c r="Y89" s="492">
        <f t="shared" si="185"/>
        <v>0</v>
      </c>
      <c r="Z89" s="492">
        <f t="shared" si="186"/>
        <v>1045098</v>
      </c>
      <c r="AA89" s="494">
        <f t="shared" si="187"/>
        <v>353243</v>
      </c>
      <c r="AB89" s="494">
        <f t="shared" si="188"/>
        <v>10451</v>
      </c>
      <c r="AC89" s="492">
        <v>0</v>
      </c>
      <c r="AD89" s="789">
        <f t="shared" si="189"/>
        <v>1408792</v>
      </c>
      <c r="AE89" s="715">
        <v>0</v>
      </c>
      <c r="AF89" s="491">
        <v>2.6</v>
      </c>
      <c r="AG89" s="326">
        <v>0</v>
      </c>
      <c r="AH89" s="326">
        <v>0</v>
      </c>
      <c r="AI89" s="326">
        <v>0</v>
      </c>
      <c r="AJ89" s="326">
        <v>0</v>
      </c>
      <c r="AK89" s="626">
        <f>SUM(AE89:AJ89)</f>
        <v>2.6</v>
      </c>
      <c r="AL89" s="696">
        <f>I89+AD89</f>
        <v>1408792</v>
      </c>
      <c r="AM89" s="492">
        <f>J89+U89</f>
        <v>1045098</v>
      </c>
      <c r="AN89" s="492">
        <f>Y89</f>
        <v>0</v>
      </c>
      <c r="AO89" s="492">
        <f t="shared" si="190"/>
        <v>353243</v>
      </c>
      <c r="AP89" s="492">
        <f t="shared" si="190"/>
        <v>10451</v>
      </c>
      <c r="AQ89" s="492">
        <f t="shared" si="190"/>
        <v>0</v>
      </c>
      <c r="AR89" s="626">
        <f>N89+AK89</f>
        <v>2.6</v>
      </c>
    </row>
    <row r="90" spans="1:44" ht="12.95" customHeight="1" x14ac:dyDescent="0.25">
      <c r="A90" s="249">
        <v>20</v>
      </c>
      <c r="B90" s="250">
        <v>5426</v>
      </c>
      <c r="C90" s="251">
        <v>600098761</v>
      </c>
      <c r="D90" s="250">
        <v>72742615</v>
      </c>
      <c r="E90" s="252" t="s">
        <v>375</v>
      </c>
      <c r="F90" s="216"/>
      <c r="G90" s="254"/>
      <c r="H90" s="217"/>
      <c r="I90" s="687">
        <f t="shared" ref="I90:AR90" si="191">SUM(I88:I89)</f>
        <v>6369516</v>
      </c>
      <c r="J90" s="357">
        <f t="shared" si="191"/>
        <v>4725160</v>
      </c>
      <c r="K90" s="357">
        <f t="shared" si="191"/>
        <v>1597104</v>
      </c>
      <c r="L90" s="357">
        <f t="shared" si="191"/>
        <v>47252</v>
      </c>
      <c r="M90" s="357">
        <f t="shared" ref="M90" si="192">SUM(M88:M89)</f>
        <v>0</v>
      </c>
      <c r="N90" s="834">
        <f t="shared" si="191"/>
        <v>8</v>
      </c>
      <c r="O90" s="687">
        <f t="shared" si="191"/>
        <v>0</v>
      </c>
      <c r="P90" s="357">
        <f t="shared" si="191"/>
        <v>1045098</v>
      </c>
      <c r="Q90" s="357">
        <f t="shared" si="191"/>
        <v>0</v>
      </c>
      <c r="R90" s="357">
        <f t="shared" si="191"/>
        <v>0</v>
      </c>
      <c r="S90" s="357">
        <f t="shared" si="191"/>
        <v>0</v>
      </c>
      <c r="T90" s="357">
        <f t="shared" si="191"/>
        <v>0</v>
      </c>
      <c r="U90" s="357">
        <f t="shared" si="191"/>
        <v>1045098</v>
      </c>
      <c r="V90" s="357">
        <f t="shared" si="191"/>
        <v>0</v>
      </c>
      <c r="W90" s="357">
        <f t="shared" si="191"/>
        <v>0</v>
      </c>
      <c r="X90" s="357">
        <f t="shared" si="191"/>
        <v>0</v>
      </c>
      <c r="Y90" s="357">
        <f t="shared" si="191"/>
        <v>0</v>
      </c>
      <c r="Z90" s="357">
        <f t="shared" si="191"/>
        <v>1045098</v>
      </c>
      <c r="AA90" s="357">
        <f t="shared" si="191"/>
        <v>353243</v>
      </c>
      <c r="AB90" s="357">
        <f t="shared" si="191"/>
        <v>10451</v>
      </c>
      <c r="AC90" s="357">
        <f t="shared" si="191"/>
        <v>0</v>
      </c>
      <c r="AD90" s="684">
        <f t="shared" si="191"/>
        <v>1408792</v>
      </c>
      <c r="AE90" s="836">
        <v>0</v>
      </c>
      <c r="AF90" s="358">
        <f t="shared" si="191"/>
        <v>2.6</v>
      </c>
      <c r="AG90" s="358">
        <f t="shared" si="191"/>
        <v>0</v>
      </c>
      <c r="AH90" s="358">
        <f t="shared" si="191"/>
        <v>0</v>
      </c>
      <c r="AI90" s="358">
        <f t="shared" si="191"/>
        <v>0</v>
      </c>
      <c r="AJ90" s="358">
        <f t="shared" si="191"/>
        <v>0</v>
      </c>
      <c r="AK90" s="258">
        <f t="shared" si="191"/>
        <v>2.6</v>
      </c>
      <c r="AL90" s="687">
        <f t="shared" si="191"/>
        <v>7778308</v>
      </c>
      <c r="AM90" s="357">
        <f t="shared" si="191"/>
        <v>5770258</v>
      </c>
      <c r="AN90" s="357">
        <f t="shared" si="191"/>
        <v>0</v>
      </c>
      <c r="AO90" s="357">
        <f t="shared" si="191"/>
        <v>1950347</v>
      </c>
      <c r="AP90" s="357">
        <f t="shared" si="191"/>
        <v>57703</v>
      </c>
      <c r="AQ90" s="357">
        <f t="shared" si="191"/>
        <v>0</v>
      </c>
      <c r="AR90" s="258">
        <f t="shared" si="191"/>
        <v>10.6</v>
      </c>
    </row>
    <row r="91" spans="1:44" ht="12.95" customHeight="1" x14ac:dyDescent="0.25">
      <c r="A91" s="205">
        <v>21</v>
      </c>
      <c r="B91" s="246">
        <v>5423</v>
      </c>
      <c r="C91" s="247">
        <v>600098516</v>
      </c>
      <c r="D91" s="206">
        <v>72742453</v>
      </c>
      <c r="E91" s="248" t="s">
        <v>376</v>
      </c>
      <c r="F91" s="206">
        <v>3111</v>
      </c>
      <c r="G91" s="248" t="s">
        <v>290</v>
      </c>
      <c r="H91" s="209" t="s">
        <v>262</v>
      </c>
      <c r="I91" s="627">
        <f t="shared" ref="I91:I92" si="193">SUM(J91:M91)</f>
        <v>9725183</v>
      </c>
      <c r="J91" s="559">
        <v>7214528</v>
      </c>
      <c r="K91" s="431">
        <f t="shared" ref="K91:K92" si="194">ROUND(J91*33.8%,0)</f>
        <v>2438510</v>
      </c>
      <c r="L91" s="431">
        <f t="shared" ref="L91:L92" si="195">ROUND(J91*1%,0)</f>
        <v>72145</v>
      </c>
      <c r="M91" s="325">
        <v>0</v>
      </c>
      <c r="N91" s="751">
        <v>11.935499999999999</v>
      </c>
      <c r="O91" s="327">
        <f>V91*-1</f>
        <v>0</v>
      </c>
      <c r="P91" s="492">
        <v>0</v>
      </c>
      <c r="Q91" s="325">
        <v>0</v>
      </c>
      <c r="R91" s="325">
        <v>0</v>
      </c>
      <c r="S91" s="325">
        <v>0</v>
      </c>
      <c r="T91" s="325">
        <v>0</v>
      </c>
      <c r="U91" s="492">
        <f>O91+P91+Q91+R91+S91+T91</f>
        <v>0</v>
      </c>
      <c r="V91" s="325">
        <v>0</v>
      </c>
      <c r="W91" s="325">
        <v>0</v>
      </c>
      <c r="X91" s="325">
        <v>0</v>
      </c>
      <c r="Y91" s="492">
        <f t="shared" ref="Y91:Y92" si="196">V91+W91+X91</f>
        <v>0</v>
      </c>
      <c r="Z91" s="492">
        <f t="shared" ref="Z91:Z92" si="197">U91+Y91</f>
        <v>0</v>
      </c>
      <c r="AA91" s="494">
        <f t="shared" ref="AA91:AA92" si="198">ROUND((U91+Y91)*33.8%,0)</f>
        <v>0</v>
      </c>
      <c r="AB91" s="494">
        <f t="shared" ref="AB91:AB92" si="199">ROUND(U91*1%,0)</f>
        <v>0</v>
      </c>
      <c r="AC91" s="492">
        <v>0</v>
      </c>
      <c r="AD91" s="789">
        <f t="shared" ref="AD91:AD92" si="200">Z91+AA91+AB91+AC91</f>
        <v>0</v>
      </c>
      <c r="AE91" s="715">
        <v>0</v>
      </c>
      <c r="AF91" s="491">
        <v>0</v>
      </c>
      <c r="AG91" s="326">
        <v>0</v>
      </c>
      <c r="AH91" s="326">
        <v>0</v>
      </c>
      <c r="AI91" s="326">
        <v>0</v>
      </c>
      <c r="AJ91" s="326">
        <v>0</v>
      </c>
      <c r="AK91" s="626">
        <f>SUM(AE91:AJ91)</f>
        <v>0</v>
      </c>
      <c r="AL91" s="696">
        <f>I91+AD91</f>
        <v>9725183</v>
      </c>
      <c r="AM91" s="492">
        <f>J91+U91</f>
        <v>7214528</v>
      </c>
      <c r="AN91" s="492">
        <f>Y91</f>
        <v>0</v>
      </c>
      <c r="AO91" s="492">
        <f t="shared" ref="AO91:AQ92" si="201">K91+AA91</f>
        <v>2438510</v>
      </c>
      <c r="AP91" s="492">
        <f t="shared" si="201"/>
        <v>72145</v>
      </c>
      <c r="AQ91" s="492">
        <f t="shared" si="201"/>
        <v>0</v>
      </c>
      <c r="AR91" s="626">
        <f>N91+AK91</f>
        <v>11.935499999999999</v>
      </c>
    </row>
    <row r="92" spans="1:44" ht="12.95" customHeight="1" x14ac:dyDescent="0.25">
      <c r="A92" s="205">
        <v>21</v>
      </c>
      <c r="B92" s="246">
        <v>5423</v>
      </c>
      <c r="C92" s="247">
        <v>600098516</v>
      </c>
      <c r="D92" s="206">
        <v>72742453</v>
      </c>
      <c r="E92" s="248" t="s">
        <v>376</v>
      </c>
      <c r="F92" s="206">
        <v>3111</v>
      </c>
      <c r="G92" s="248" t="s">
        <v>284</v>
      </c>
      <c r="H92" s="209" t="s">
        <v>263</v>
      </c>
      <c r="I92" s="586">
        <f t="shared" si="193"/>
        <v>0</v>
      </c>
      <c r="J92" s="490"/>
      <c r="K92" s="431">
        <f t="shared" si="194"/>
        <v>0</v>
      </c>
      <c r="L92" s="431">
        <f t="shared" si="195"/>
        <v>0</v>
      </c>
      <c r="M92" s="325">
        <v>0</v>
      </c>
      <c r="N92" s="752"/>
      <c r="O92" s="327">
        <f>V92*-1</f>
        <v>0</v>
      </c>
      <c r="P92" s="492">
        <v>1488177</v>
      </c>
      <c r="Q92" s="325">
        <v>0</v>
      </c>
      <c r="R92" s="325">
        <v>0</v>
      </c>
      <c r="S92" s="325">
        <v>0</v>
      </c>
      <c r="T92" s="325">
        <v>0</v>
      </c>
      <c r="U92" s="492">
        <f>O92+P92+Q92+R92+S92+T92</f>
        <v>1488177</v>
      </c>
      <c r="V92" s="325">
        <v>0</v>
      </c>
      <c r="W92" s="325">
        <v>0</v>
      </c>
      <c r="X92" s="325">
        <v>0</v>
      </c>
      <c r="Y92" s="492">
        <f t="shared" si="196"/>
        <v>0</v>
      </c>
      <c r="Z92" s="492">
        <f t="shared" si="197"/>
        <v>1488177</v>
      </c>
      <c r="AA92" s="494">
        <f t="shared" si="198"/>
        <v>503004</v>
      </c>
      <c r="AB92" s="494">
        <f t="shared" si="199"/>
        <v>14882</v>
      </c>
      <c r="AC92" s="492">
        <v>0</v>
      </c>
      <c r="AD92" s="789">
        <f t="shared" si="200"/>
        <v>2006063</v>
      </c>
      <c r="AE92" s="715">
        <v>0</v>
      </c>
      <c r="AF92" s="491">
        <v>3.75</v>
      </c>
      <c r="AG92" s="326">
        <v>0</v>
      </c>
      <c r="AH92" s="326">
        <v>0</v>
      </c>
      <c r="AI92" s="326">
        <v>0</v>
      </c>
      <c r="AJ92" s="326">
        <v>0</v>
      </c>
      <c r="AK92" s="626">
        <f>SUM(AE92:AJ92)</f>
        <v>3.75</v>
      </c>
      <c r="AL92" s="696">
        <f>I92+AD92</f>
        <v>2006063</v>
      </c>
      <c r="AM92" s="492">
        <f>J92+U92</f>
        <v>1488177</v>
      </c>
      <c r="AN92" s="492">
        <f>Y92</f>
        <v>0</v>
      </c>
      <c r="AO92" s="492">
        <f t="shared" si="201"/>
        <v>503004</v>
      </c>
      <c r="AP92" s="492">
        <f t="shared" si="201"/>
        <v>14882</v>
      </c>
      <c r="AQ92" s="492">
        <f t="shared" si="201"/>
        <v>0</v>
      </c>
      <c r="AR92" s="626">
        <f>N92+AK92</f>
        <v>3.75</v>
      </c>
    </row>
    <row r="93" spans="1:44" ht="12.95" customHeight="1" x14ac:dyDescent="0.25">
      <c r="A93" s="249">
        <v>21</v>
      </c>
      <c r="B93" s="250">
        <v>5423</v>
      </c>
      <c r="C93" s="251">
        <v>600098516</v>
      </c>
      <c r="D93" s="250">
        <v>72742453</v>
      </c>
      <c r="E93" s="252" t="s">
        <v>377</v>
      </c>
      <c r="F93" s="216"/>
      <c r="G93" s="254"/>
      <c r="H93" s="217"/>
      <c r="I93" s="686">
        <f t="shared" ref="I93:AR93" si="202">SUM(I91:I92)</f>
        <v>9725183</v>
      </c>
      <c r="J93" s="355">
        <f t="shared" si="202"/>
        <v>7214528</v>
      </c>
      <c r="K93" s="355">
        <f t="shared" si="202"/>
        <v>2438510</v>
      </c>
      <c r="L93" s="355">
        <f t="shared" si="202"/>
        <v>72145</v>
      </c>
      <c r="M93" s="355">
        <f t="shared" ref="M93" si="203">SUM(M91:M92)</f>
        <v>0</v>
      </c>
      <c r="N93" s="816">
        <f t="shared" si="202"/>
        <v>11.935499999999999</v>
      </c>
      <c r="O93" s="686">
        <f t="shared" si="202"/>
        <v>0</v>
      </c>
      <c r="P93" s="355">
        <f t="shared" si="202"/>
        <v>1488177</v>
      </c>
      <c r="Q93" s="355">
        <f t="shared" si="202"/>
        <v>0</v>
      </c>
      <c r="R93" s="355">
        <f t="shared" si="202"/>
        <v>0</v>
      </c>
      <c r="S93" s="355">
        <f t="shared" si="202"/>
        <v>0</v>
      </c>
      <c r="T93" s="355">
        <f t="shared" si="202"/>
        <v>0</v>
      </c>
      <c r="U93" s="355">
        <f t="shared" si="202"/>
        <v>1488177</v>
      </c>
      <c r="V93" s="355">
        <f t="shared" si="202"/>
        <v>0</v>
      </c>
      <c r="W93" s="355">
        <f t="shared" si="202"/>
        <v>0</v>
      </c>
      <c r="X93" s="355">
        <f t="shared" si="202"/>
        <v>0</v>
      </c>
      <c r="Y93" s="355">
        <f t="shared" si="202"/>
        <v>0</v>
      </c>
      <c r="Z93" s="355">
        <f t="shared" si="202"/>
        <v>1488177</v>
      </c>
      <c r="AA93" s="355">
        <f t="shared" si="202"/>
        <v>503004</v>
      </c>
      <c r="AB93" s="355">
        <f t="shared" si="202"/>
        <v>14882</v>
      </c>
      <c r="AC93" s="355">
        <f t="shared" si="202"/>
        <v>0</v>
      </c>
      <c r="AD93" s="683">
        <f t="shared" si="202"/>
        <v>2006063</v>
      </c>
      <c r="AE93" s="829">
        <v>0</v>
      </c>
      <c r="AF93" s="356">
        <f t="shared" si="202"/>
        <v>3.75</v>
      </c>
      <c r="AG93" s="356">
        <f t="shared" si="202"/>
        <v>0</v>
      </c>
      <c r="AH93" s="356">
        <f t="shared" si="202"/>
        <v>0</v>
      </c>
      <c r="AI93" s="356">
        <f t="shared" si="202"/>
        <v>0</v>
      </c>
      <c r="AJ93" s="356">
        <f t="shared" si="202"/>
        <v>0</v>
      </c>
      <c r="AK93" s="253">
        <f t="shared" si="202"/>
        <v>3.75</v>
      </c>
      <c r="AL93" s="686">
        <f t="shared" si="202"/>
        <v>11731246</v>
      </c>
      <c r="AM93" s="355">
        <f t="shared" si="202"/>
        <v>8702705</v>
      </c>
      <c r="AN93" s="355">
        <f t="shared" si="202"/>
        <v>0</v>
      </c>
      <c r="AO93" s="355">
        <f t="shared" si="202"/>
        <v>2941514</v>
      </c>
      <c r="AP93" s="355">
        <f t="shared" si="202"/>
        <v>87027</v>
      </c>
      <c r="AQ93" s="355">
        <f t="shared" si="202"/>
        <v>0</v>
      </c>
      <c r="AR93" s="253">
        <f t="shared" si="202"/>
        <v>15.685499999999999</v>
      </c>
    </row>
    <row r="94" spans="1:44" ht="12.95" customHeight="1" x14ac:dyDescent="0.25">
      <c r="A94" s="205">
        <v>22</v>
      </c>
      <c r="B94" s="246">
        <v>5422</v>
      </c>
      <c r="C94" s="247">
        <v>600099181</v>
      </c>
      <c r="D94" s="206">
        <v>854751</v>
      </c>
      <c r="E94" s="248" t="s">
        <v>378</v>
      </c>
      <c r="F94" s="206">
        <v>3113</v>
      </c>
      <c r="G94" s="248" t="s">
        <v>294</v>
      </c>
      <c r="H94" s="209" t="s">
        <v>262</v>
      </c>
      <c r="I94" s="627">
        <f t="shared" ref="I94:I97" si="204">SUM(J94:M94)</f>
        <v>39348066</v>
      </c>
      <c r="J94" s="559">
        <v>29189960</v>
      </c>
      <c r="K94" s="431">
        <f t="shared" ref="K94:K97" si="205">ROUND(J94*33.8%,0)</f>
        <v>9866206</v>
      </c>
      <c r="L94" s="431">
        <f t="shared" ref="L94:L97" si="206">ROUND(J94*1%,0)</f>
        <v>291900</v>
      </c>
      <c r="M94" s="325">
        <v>0</v>
      </c>
      <c r="N94" s="751">
        <v>39.5</v>
      </c>
      <c r="O94" s="327">
        <f>V94*-1</f>
        <v>-253200</v>
      </c>
      <c r="P94" s="492">
        <v>0</v>
      </c>
      <c r="Q94" s="325">
        <v>27105</v>
      </c>
      <c r="R94" s="325">
        <v>0</v>
      </c>
      <c r="S94" s="325">
        <v>0</v>
      </c>
      <c r="T94" s="325">
        <v>0</v>
      </c>
      <c r="U94" s="492">
        <f>O94+P94+Q94+R94+S94+T94</f>
        <v>-226095</v>
      </c>
      <c r="V94" s="325">
        <v>253200</v>
      </c>
      <c r="W94" s="325">
        <v>0</v>
      </c>
      <c r="X94" s="325">
        <v>0</v>
      </c>
      <c r="Y94" s="492">
        <f t="shared" ref="Y94:Y97" si="207">V94+W94+X94</f>
        <v>253200</v>
      </c>
      <c r="Z94" s="492">
        <f t="shared" ref="Z94:Z97" si="208">U94+Y94</f>
        <v>27105</v>
      </c>
      <c r="AA94" s="494">
        <f t="shared" ref="AA94:AA97" si="209">ROUND((U94+Y94)*33.8%,0)</f>
        <v>9161</v>
      </c>
      <c r="AB94" s="494">
        <f t="shared" ref="AB94:AB97" si="210">ROUND(U94*1%,0)</f>
        <v>-2261</v>
      </c>
      <c r="AC94" s="492">
        <v>0</v>
      </c>
      <c r="AD94" s="789">
        <f t="shared" ref="AD94:AD97" si="211">Z94+AA94+AB94+AC94</f>
        <v>34005</v>
      </c>
      <c r="AE94" s="715">
        <v>-0.32</v>
      </c>
      <c r="AF94" s="491">
        <v>0</v>
      </c>
      <c r="AG94" s="326">
        <v>0</v>
      </c>
      <c r="AH94" s="326">
        <v>0.04</v>
      </c>
      <c r="AI94" s="326">
        <v>0</v>
      </c>
      <c r="AJ94" s="326">
        <v>0</v>
      </c>
      <c r="AK94" s="626">
        <f>SUM(AE94:AJ94)</f>
        <v>-0.28000000000000003</v>
      </c>
      <c r="AL94" s="696">
        <f>I94+AD94</f>
        <v>39382071</v>
      </c>
      <c r="AM94" s="492">
        <f>J94+U94</f>
        <v>28963865</v>
      </c>
      <c r="AN94" s="492">
        <f>Y94</f>
        <v>253200</v>
      </c>
      <c r="AO94" s="492">
        <f t="shared" ref="AO94:AQ97" si="212">K94+AA94</f>
        <v>9875367</v>
      </c>
      <c r="AP94" s="492">
        <f t="shared" si="212"/>
        <v>289639</v>
      </c>
      <c r="AQ94" s="492">
        <f t="shared" si="212"/>
        <v>0</v>
      </c>
      <c r="AR94" s="626">
        <f>N94+AK94</f>
        <v>39.22</v>
      </c>
    </row>
    <row r="95" spans="1:44" ht="12.95" customHeight="1" x14ac:dyDescent="0.25">
      <c r="A95" s="205">
        <v>22</v>
      </c>
      <c r="B95" s="246">
        <v>5422</v>
      </c>
      <c r="C95" s="247">
        <v>600099181</v>
      </c>
      <c r="D95" s="206">
        <v>854751</v>
      </c>
      <c r="E95" s="248" t="s">
        <v>378</v>
      </c>
      <c r="F95" s="206">
        <v>3113</v>
      </c>
      <c r="G95" s="248" t="s">
        <v>799</v>
      </c>
      <c r="H95" s="209" t="s">
        <v>262</v>
      </c>
      <c r="I95" s="627">
        <v>0</v>
      </c>
      <c r="J95" s="559">
        <v>0</v>
      </c>
      <c r="K95" s="431">
        <v>0</v>
      </c>
      <c r="L95" s="431">
        <v>0</v>
      </c>
      <c r="M95" s="325">
        <v>0</v>
      </c>
      <c r="N95" s="751">
        <v>0</v>
      </c>
      <c r="O95" s="327">
        <f>V95*-1</f>
        <v>0</v>
      </c>
      <c r="P95" s="492">
        <v>0</v>
      </c>
      <c r="Q95" s="325">
        <v>0</v>
      </c>
      <c r="R95" s="325">
        <v>330504</v>
      </c>
      <c r="S95" s="325">
        <v>0</v>
      </c>
      <c r="T95" s="325">
        <v>0</v>
      </c>
      <c r="U95" s="492">
        <f>O95+P95+Q95+R95+S95+T95</f>
        <v>330504</v>
      </c>
      <c r="V95" s="325">
        <v>0</v>
      </c>
      <c r="W95" s="325">
        <v>0</v>
      </c>
      <c r="X95" s="325">
        <v>0</v>
      </c>
      <c r="Y95" s="492">
        <f>V95+W95+X95</f>
        <v>0</v>
      </c>
      <c r="Z95" s="492">
        <f>U95+Y95</f>
        <v>330504</v>
      </c>
      <c r="AA95" s="494">
        <f>ROUND((U95+Y95)*33.8%,0)</f>
        <v>111710</v>
      </c>
      <c r="AB95" s="494">
        <f>ROUND(U95*1%,0)</f>
        <v>3305</v>
      </c>
      <c r="AC95" s="492">
        <v>0</v>
      </c>
      <c r="AD95" s="789">
        <f>Z95+AA95+AB95+AC95</f>
        <v>445519</v>
      </c>
      <c r="AE95" s="715">
        <v>0</v>
      </c>
      <c r="AF95" s="491">
        <v>0</v>
      </c>
      <c r="AG95" s="326">
        <v>0.6</v>
      </c>
      <c r="AH95" s="326">
        <v>0</v>
      </c>
      <c r="AI95" s="326">
        <v>0</v>
      </c>
      <c r="AJ95" s="326">
        <v>0</v>
      </c>
      <c r="AK95" s="626">
        <f>SUM(AE95:AJ95)</f>
        <v>0.6</v>
      </c>
      <c r="AL95" s="696">
        <f>I95+AD95</f>
        <v>445519</v>
      </c>
      <c r="AM95" s="492">
        <f>J95+U95</f>
        <v>330504</v>
      </c>
      <c r="AN95" s="492">
        <f>Y95</f>
        <v>0</v>
      </c>
      <c r="AO95" s="492">
        <f t="shared" si="212"/>
        <v>111710</v>
      </c>
      <c r="AP95" s="492">
        <f t="shared" si="212"/>
        <v>3305</v>
      </c>
      <c r="AQ95" s="492">
        <f t="shared" si="212"/>
        <v>0</v>
      </c>
      <c r="AR95" s="626">
        <f>N95+AK95</f>
        <v>0.6</v>
      </c>
    </row>
    <row r="96" spans="1:44" ht="12.95" customHeight="1" x14ac:dyDescent="0.25">
      <c r="A96" s="205">
        <v>22</v>
      </c>
      <c r="B96" s="246">
        <v>5422</v>
      </c>
      <c r="C96" s="247">
        <v>600099181</v>
      </c>
      <c r="D96" s="206">
        <v>854751</v>
      </c>
      <c r="E96" s="248" t="s">
        <v>378</v>
      </c>
      <c r="F96" s="206">
        <v>3113</v>
      </c>
      <c r="G96" s="248" t="s">
        <v>284</v>
      </c>
      <c r="H96" s="209" t="s">
        <v>263</v>
      </c>
      <c r="I96" s="586">
        <f t="shared" si="204"/>
        <v>0</v>
      </c>
      <c r="J96" s="490"/>
      <c r="K96" s="431">
        <f t="shared" si="205"/>
        <v>0</v>
      </c>
      <c r="L96" s="431">
        <f t="shared" si="206"/>
        <v>0</v>
      </c>
      <c r="M96" s="325">
        <v>0</v>
      </c>
      <c r="N96" s="752"/>
      <c r="O96" s="327">
        <f>V96*-1</f>
        <v>0</v>
      </c>
      <c r="P96" s="492">
        <f>3918180-52981</f>
        <v>3865199</v>
      </c>
      <c r="Q96" s="325">
        <v>0</v>
      </c>
      <c r="R96" s="325">
        <v>0</v>
      </c>
      <c r="S96" s="325">
        <v>0</v>
      </c>
      <c r="T96" s="325">
        <v>0</v>
      </c>
      <c r="U96" s="492">
        <f>O96+P96+Q96+R96+S96+T96</f>
        <v>3865199</v>
      </c>
      <c r="V96" s="325">
        <v>0</v>
      </c>
      <c r="W96" s="325">
        <v>0</v>
      </c>
      <c r="X96" s="325">
        <v>0</v>
      </c>
      <c r="Y96" s="492">
        <f t="shared" si="207"/>
        <v>0</v>
      </c>
      <c r="Z96" s="492">
        <f t="shared" si="208"/>
        <v>3865199</v>
      </c>
      <c r="AA96" s="494">
        <f t="shared" si="209"/>
        <v>1306437</v>
      </c>
      <c r="AB96" s="494">
        <f t="shared" si="210"/>
        <v>38652</v>
      </c>
      <c r="AC96" s="492">
        <v>0</v>
      </c>
      <c r="AD96" s="789">
        <f t="shared" si="211"/>
        <v>5210288</v>
      </c>
      <c r="AE96" s="715">
        <v>0</v>
      </c>
      <c r="AF96" s="491">
        <f>9.69-0.1</f>
        <v>9.59</v>
      </c>
      <c r="AG96" s="326">
        <v>0</v>
      </c>
      <c r="AH96" s="326">
        <v>0</v>
      </c>
      <c r="AI96" s="326">
        <v>0</v>
      </c>
      <c r="AJ96" s="326">
        <v>0</v>
      </c>
      <c r="AK96" s="626">
        <f>SUM(AE96:AJ96)</f>
        <v>9.59</v>
      </c>
      <c r="AL96" s="696">
        <f>I96+AD96</f>
        <v>5210288</v>
      </c>
      <c r="AM96" s="492">
        <f>J96+U96</f>
        <v>3865199</v>
      </c>
      <c r="AN96" s="492">
        <f>Y96</f>
        <v>0</v>
      </c>
      <c r="AO96" s="492">
        <f t="shared" si="212"/>
        <v>1306437</v>
      </c>
      <c r="AP96" s="492">
        <f t="shared" si="212"/>
        <v>38652</v>
      </c>
      <c r="AQ96" s="492">
        <f t="shared" si="212"/>
        <v>0</v>
      </c>
      <c r="AR96" s="626">
        <f>N96+AK96</f>
        <v>9.59</v>
      </c>
    </row>
    <row r="97" spans="1:44" ht="12.95" customHeight="1" x14ac:dyDescent="0.25">
      <c r="A97" s="205">
        <v>22</v>
      </c>
      <c r="B97" s="246">
        <v>5422</v>
      </c>
      <c r="C97" s="247">
        <v>600099181</v>
      </c>
      <c r="D97" s="206">
        <v>854751</v>
      </c>
      <c r="E97" s="248" t="s">
        <v>378</v>
      </c>
      <c r="F97" s="206">
        <v>3143</v>
      </c>
      <c r="G97" s="248" t="s">
        <v>795</v>
      </c>
      <c r="H97" s="209" t="s">
        <v>262</v>
      </c>
      <c r="I97" s="586">
        <f t="shared" si="204"/>
        <v>2848511</v>
      </c>
      <c r="J97" s="490">
        <v>2113139</v>
      </c>
      <c r="K97" s="431">
        <f t="shared" si="205"/>
        <v>714241</v>
      </c>
      <c r="L97" s="431">
        <f t="shared" si="206"/>
        <v>21131</v>
      </c>
      <c r="M97" s="325">
        <v>0</v>
      </c>
      <c r="N97" s="752">
        <v>3.9464000000000001</v>
      </c>
      <c r="O97" s="327">
        <f>V97*-1</f>
        <v>0</v>
      </c>
      <c r="P97" s="492">
        <v>0</v>
      </c>
      <c r="Q97" s="325">
        <v>0</v>
      </c>
      <c r="R97" s="325">
        <v>0</v>
      </c>
      <c r="S97" s="325">
        <v>0</v>
      </c>
      <c r="T97" s="325">
        <v>0</v>
      </c>
      <c r="U97" s="492">
        <f>O97+P97+Q97+R97+S97+T97</f>
        <v>0</v>
      </c>
      <c r="V97" s="325">
        <v>0</v>
      </c>
      <c r="W97" s="325">
        <v>0</v>
      </c>
      <c r="X97" s="325">
        <v>0</v>
      </c>
      <c r="Y97" s="492">
        <f t="shared" si="207"/>
        <v>0</v>
      </c>
      <c r="Z97" s="492">
        <f t="shared" si="208"/>
        <v>0</v>
      </c>
      <c r="AA97" s="494">
        <f t="shared" si="209"/>
        <v>0</v>
      </c>
      <c r="AB97" s="494">
        <f t="shared" si="210"/>
        <v>0</v>
      </c>
      <c r="AC97" s="492">
        <v>0</v>
      </c>
      <c r="AD97" s="789">
        <f t="shared" si="211"/>
        <v>0</v>
      </c>
      <c r="AE97" s="715">
        <v>0</v>
      </c>
      <c r="AF97" s="491">
        <v>0</v>
      </c>
      <c r="AG97" s="326">
        <v>0</v>
      </c>
      <c r="AH97" s="326">
        <v>0</v>
      </c>
      <c r="AI97" s="326">
        <v>0</v>
      </c>
      <c r="AJ97" s="326">
        <v>0</v>
      </c>
      <c r="AK97" s="626">
        <f>SUM(AE97:AJ97)</f>
        <v>0</v>
      </c>
      <c r="AL97" s="696">
        <f>I97+AD97</f>
        <v>2848511</v>
      </c>
      <c r="AM97" s="492">
        <f>J97+U97</f>
        <v>2113139</v>
      </c>
      <c r="AN97" s="492">
        <f>Y97</f>
        <v>0</v>
      </c>
      <c r="AO97" s="492">
        <f t="shared" si="212"/>
        <v>714241</v>
      </c>
      <c r="AP97" s="492">
        <f t="shared" si="212"/>
        <v>21131</v>
      </c>
      <c r="AQ97" s="492">
        <f t="shared" si="212"/>
        <v>0</v>
      </c>
      <c r="AR97" s="626">
        <f>N97+AK97</f>
        <v>3.9464000000000001</v>
      </c>
    </row>
    <row r="98" spans="1:44" ht="12.95" customHeight="1" x14ac:dyDescent="0.25">
      <c r="A98" s="249">
        <v>22</v>
      </c>
      <c r="B98" s="250">
        <v>5422</v>
      </c>
      <c r="C98" s="251">
        <v>600099181</v>
      </c>
      <c r="D98" s="250">
        <v>854751</v>
      </c>
      <c r="E98" s="252" t="s">
        <v>379</v>
      </c>
      <c r="F98" s="216"/>
      <c r="G98" s="254"/>
      <c r="H98" s="217"/>
      <c r="I98" s="686">
        <f t="shared" ref="I98:AD98" si="213">SUM(I94:I97)</f>
        <v>42196577</v>
      </c>
      <c r="J98" s="355">
        <f t="shared" si="213"/>
        <v>31303099</v>
      </c>
      <c r="K98" s="355">
        <f t="shared" si="213"/>
        <v>10580447</v>
      </c>
      <c r="L98" s="355">
        <f t="shared" si="213"/>
        <v>313031</v>
      </c>
      <c r="M98" s="355">
        <f t="shared" si="213"/>
        <v>0</v>
      </c>
      <c r="N98" s="816">
        <f t="shared" si="213"/>
        <v>43.446399999999997</v>
      </c>
      <c r="O98" s="686">
        <f t="shared" si="213"/>
        <v>-253200</v>
      </c>
      <c r="P98" s="355">
        <f t="shared" si="213"/>
        <v>3865199</v>
      </c>
      <c r="Q98" s="355">
        <f t="shared" si="213"/>
        <v>27105</v>
      </c>
      <c r="R98" s="355">
        <f t="shared" si="213"/>
        <v>330504</v>
      </c>
      <c r="S98" s="355">
        <f t="shared" si="213"/>
        <v>0</v>
      </c>
      <c r="T98" s="355">
        <f t="shared" si="213"/>
        <v>0</v>
      </c>
      <c r="U98" s="355">
        <f t="shared" si="213"/>
        <v>3969608</v>
      </c>
      <c r="V98" s="355">
        <f t="shared" si="213"/>
        <v>253200</v>
      </c>
      <c r="W98" s="355">
        <f t="shared" si="213"/>
        <v>0</v>
      </c>
      <c r="X98" s="355">
        <f t="shared" si="213"/>
        <v>0</v>
      </c>
      <c r="Y98" s="355">
        <f t="shared" si="213"/>
        <v>253200</v>
      </c>
      <c r="Z98" s="355">
        <f t="shared" si="213"/>
        <v>4222808</v>
      </c>
      <c r="AA98" s="355">
        <f t="shared" si="213"/>
        <v>1427308</v>
      </c>
      <c r="AB98" s="355">
        <f t="shared" si="213"/>
        <v>39696</v>
      </c>
      <c r="AC98" s="355">
        <f t="shared" si="213"/>
        <v>0</v>
      </c>
      <c r="AD98" s="683">
        <f t="shared" si="213"/>
        <v>5689812</v>
      </c>
      <c r="AE98" s="829">
        <v>-0.32</v>
      </c>
      <c r="AF98" s="356">
        <f t="shared" ref="AF98:AR98" si="214">SUM(AF94:AF97)</f>
        <v>9.59</v>
      </c>
      <c r="AG98" s="356">
        <f t="shared" si="214"/>
        <v>0.6</v>
      </c>
      <c r="AH98" s="356">
        <f t="shared" si="214"/>
        <v>0.04</v>
      </c>
      <c r="AI98" s="356">
        <f t="shared" si="214"/>
        <v>0</v>
      </c>
      <c r="AJ98" s="356">
        <f t="shared" si="214"/>
        <v>0</v>
      </c>
      <c r="AK98" s="253">
        <f t="shared" si="214"/>
        <v>9.91</v>
      </c>
      <c r="AL98" s="686">
        <f t="shared" si="214"/>
        <v>47886389</v>
      </c>
      <c r="AM98" s="355">
        <f t="shared" si="214"/>
        <v>35272707</v>
      </c>
      <c r="AN98" s="355">
        <f t="shared" si="214"/>
        <v>253200</v>
      </c>
      <c r="AO98" s="355">
        <f t="shared" si="214"/>
        <v>12007755</v>
      </c>
      <c r="AP98" s="355">
        <f t="shared" si="214"/>
        <v>352727</v>
      </c>
      <c r="AQ98" s="355">
        <f t="shared" si="214"/>
        <v>0</v>
      </c>
      <c r="AR98" s="253">
        <f t="shared" si="214"/>
        <v>53.356399999999994</v>
      </c>
    </row>
    <row r="99" spans="1:44" ht="12.95" customHeight="1" x14ac:dyDescent="0.25">
      <c r="A99" s="205">
        <v>23</v>
      </c>
      <c r="B99" s="246">
        <v>5424</v>
      </c>
      <c r="C99" s="247">
        <v>600099431</v>
      </c>
      <c r="D99" s="206">
        <v>72742372</v>
      </c>
      <c r="E99" s="248" t="s">
        <v>380</v>
      </c>
      <c r="F99" s="206">
        <v>3114</v>
      </c>
      <c r="G99" s="256" t="s">
        <v>511</v>
      </c>
      <c r="H99" s="209" t="s">
        <v>262</v>
      </c>
      <c r="I99" s="627">
        <f t="shared" ref="I99:I100" si="215">SUM(J99:M99)</f>
        <v>5828646</v>
      </c>
      <c r="J99" s="559">
        <v>4323922</v>
      </c>
      <c r="K99" s="431">
        <f>ROUND(J99*33.8%,0)-1</f>
        <v>1461485</v>
      </c>
      <c r="L99" s="431">
        <f t="shared" ref="L99:L100" si="216">ROUND(J99*1%,0)</f>
        <v>43239</v>
      </c>
      <c r="M99" s="325">
        <v>0</v>
      </c>
      <c r="N99" s="751">
        <v>5.2725999999999997</v>
      </c>
      <c r="O99" s="327">
        <f>V99*-1</f>
        <v>0</v>
      </c>
      <c r="P99" s="492">
        <v>0</v>
      </c>
      <c r="Q99" s="325">
        <v>0</v>
      </c>
      <c r="R99" s="325">
        <v>0</v>
      </c>
      <c r="S99" s="325">
        <v>0</v>
      </c>
      <c r="T99" s="325">
        <v>0</v>
      </c>
      <c r="U99" s="492">
        <f>O99+P99+Q99+R99+S99+T99</f>
        <v>0</v>
      </c>
      <c r="V99" s="325">
        <v>0</v>
      </c>
      <c r="W99" s="325">
        <v>0</v>
      </c>
      <c r="X99" s="325">
        <v>0</v>
      </c>
      <c r="Y99" s="492">
        <f t="shared" ref="Y99:Y100" si="217">V99+W99+X99</f>
        <v>0</v>
      </c>
      <c r="Z99" s="492">
        <f t="shared" ref="Z99:Z100" si="218">U99+Y99</f>
        <v>0</v>
      </c>
      <c r="AA99" s="494">
        <f t="shared" ref="AA99:AA100" si="219">ROUND((U99+Y99)*33.8%,0)</f>
        <v>0</v>
      </c>
      <c r="AB99" s="494">
        <f t="shared" ref="AB99:AB100" si="220">ROUND(U99*1%,0)</f>
        <v>0</v>
      </c>
      <c r="AC99" s="492">
        <v>0</v>
      </c>
      <c r="AD99" s="789">
        <f t="shared" ref="AD99:AD100" si="221">Z99+AA99+AB99+AC99</f>
        <v>0</v>
      </c>
      <c r="AE99" s="715">
        <v>0</v>
      </c>
      <c r="AF99" s="491">
        <v>0</v>
      </c>
      <c r="AG99" s="326">
        <v>0</v>
      </c>
      <c r="AH99" s="326">
        <v>0</v>
      </c>
      <c r="AI99" s="326">
        <v>0</v>
      </c>
      <c r="AJ99" s="326">
        <v>0</v>
      </c>
      <c r="AK99" s="626">
        <f>SUM(AE99:AJ99)</f>
        <v>0</v>
      </c>
      <c r="AL99" s="696">
        <f>I99+AD99</f>
        <v>5828646</v>
      </c>
      <c r="AM99" s="492">
        <f>J99+U99</f>
        <v>4323922</v>
      </c>
      <c r="AN99" s="492">
        <f>Y99</f>
        <v>0</v>
      </c>
      <c r="AO99" s="492">
        <f t="shared" ref="AO99:AQ100" si="222">K99+AA99</f>
        <v>1461485</v>
      </c>
      <c r="AP99" s="492">
        <f t="shared" si="222"/>
        <v>43239</v>
      </c>
      <c r="AQ99" s="492">
        <f t="shared" si="222"/>
        <v>0</v>
      </c>
      <c r="AR99" s="626">
        <f>N99+AK99</f>
        <v>5.2725999999999997</v>
      </c>
    </row>
    <row r="100" spans="1:44" ht="12.95" customHeight="1" x14ac:dyDescent="0.25">
      <c r="A100" s="205">
        <v>23</v>
      </c>
      <c r="B100" s="246">
        <v>5424</v>
      </c>
      <c r="C100" s="247">
        <v>600099431</v>
      </c>
      <c r="D100" s="206">
        <v>72742372</v>
      </c>
      <c r="E100" s="248" t="s">
        <v>380</v>
      </c>
      <c r="F100" s="206">
        <v>3114</v>
      </c>
      <c r="G100" s="256" t="s">
        <v>279</v>
      </c>
      <c r="H100" s="209" t="s">
        <v>262</v>
      </c>
      <c r="I100" s="586">
        <f t="shared" si="215"/>
        <v>603899</v>
      </c>
      <c r="J100" s="490">
        <v>447996</v>
      </c>
      <c r="K100" s="431">
        <f t="shared" ref="K100" si="223">ROUND(J100*33.8%,0)</f>
        <v>151423</v>
      </c>
      <c r="L100" s="431">
        <f t="shared" si="216"/>
        <v>4480</v>
      </c>
      <c r="M100" s="325">
        <v>0</v>
      </c>
      <c r="N100" s="752">
        <v>1</v>
      </c>
      <c r="O100" s="327">
        <f>V100*-1</f>
        <v>0</v>
      </c>
      <c r="P100" s="492">
        <v>0</v>
      </c>
      <c r="Q100" s="325">
        <v>0</v>
      </c>
      <c r="R100" s="325">
        <v>0</v>
      </c>
      <c r="S100" s="325">
        <v>0</v>
      </c>
      <c r="T100" s="325">
        <v>0</v>
      </c>
      <c r="U100" s="492">
        <f>O100+P100+Q100+R100+S100+T100</f>
        <v>0</v>
      </c>
      <c r="V100" s="325">
        <v>0</v>
      </c>
      <c r="W100" s="325">
        <v>0</v>
      </c>
      <c r="X100" s="325">
        <v>0</v>
      </c>
      <c r="Y100" s="492">
        <f t="shared" si="217"/>
        <v>0</v>
      </c>
      <c r="Z100" s="492">
        <f t="shared" si="218"/>
        <v>0</v>
      </c>
      <c r="AA100" s="494">
        <f t="shared" si="219"/>
        <v>0</v>
      </c>
      <c r="AB100" s="494">
        <f t="shared" si="220"/>
        <v>0</v>
      </c>
      <c r="AC100" s="492">
        <v>0</v>
      </c>
      <c r="AD100" s="789">
        <f t="shared" si="221"/>
        <v>0</v>
      </c>
      <c r="AE100" s="715">
        <v>0</v>
      </c>
      <c r="AF100" s="491">
        <v>0</v>
      </c>
      <c r="AG100" s="326">
        <v>0</v>
      </c>
      <c r="AH100" s="326">
        <v>0</v>
      </c>
      <c r="AI100" s="326">
        <v>0</v>
      </c>
      <c r="AJ100" s="326">
        <v>0</v>
      </c>
      <c r="AK100" s="626">
        <f>SUM(AE100:AJ100)</f>
        <v>0</v>
      </c>
      <c r="AL100" s="696">
        <f>I100+AD100</f>
        <v>603899</v>
      </c>
      <c r="AM100" s="492">
        <f>J100+U100</f>
        <v>447996</v>
      </c>
      <c r="AN100" s="492">
        <f>Y100</f>
        <v>0</v>
      </c>
      <c r="AO100" s="492">
        <f t="shared" si="222"/>
        <v>151423</v>
      </c>
      <c r="AP100" s="492">
        <f t="shared" si="222"/>
        <v>4480</v>
      </c>
      <c r="AQ100" s="492">
        <f t="shared" si="222"/>
        <v>0</v>
      </c>
      <c r="AR100" s="626">
        <f>N100+AK100</f>
        <v>1</v>
      </c>
    </row>
    <row r="101" spans="1:44" ht="12.95" customHeight="1" x14ac:dyDescent="0.25">
      <c r="A101" s="249">
        <v>23</v>
      </c>
      <c r="B101" s="250">
        <v>5424</v>
      </c>
      <c r="C101" s="251">
        <v>600099431</v>
      </c>
      <c r="D101" s="250">
        <v>72742372</v>
      </c>
      <c r="E101" s="252" t="s">
        <v>381</v>
      </c>
      <c r="F101" s="216"/>
      <c r="G101" s="254"/>
      <c r="H101" s="217"/>
      <c r="I101" s="686">
        <f t="shared" ref="I101:AR101" si="224">SUM(I99:I100)</f>
        <v>6432545</v>
      </c>
      <c r="J101" s="355">
        <f t="shared" si="224"/>
        <v>4771918</v>
      </c>
      <c r="K101" s="355">
        <f t="shared" si="224"/>
        <v>1612908</v>
      </c>
      <c r="L101" s="355">
        <f t="shared" si="224"/>
        <v>47719</v>
      </c>
      <c r="M101" s="355">
        <f t="shared" ref="M101" si="225">SUM(M99:M100)</f>
        <v>0</v>
      </c>
      <c r="N101" s="816">
        <f t="shared" si="224"/>
        <v>6.2725999999999997</v>
      </c>
      <c r="O101" s="686">
        <f t="shared" si="224"/>
        <v>0</v>
      </c>
      <c r="P101" s="355">
        <f t="shared" si="224"/>
        <v>0</v>
      </c>
      <c r="Q101" s="355">
        <f t="shared" si="224"/>
        <v>0</v>
      </c>
      <c r="R101" s="355">
        <f t="shared" si="224"/>
        <v>0</v>
      </c>
      <c r="S101" s="355">
        <f t="shared" si="224"/>
        <v>0</v>
      </c>
      <c r="T101" s="355">
        <f t="shared" si="224"/>
        <v>0</v>
      </c>
      <c r="U101" s="355">
        <f t="shared" si="224"/>
        <v>0</v>
      </c>
      <c r="V101" s="355">
        <f t="shared" si="224"/>
        <v>0</v>
      </c>
      <c r="W101" s="355">
        <f t="shared" si="224"/>
        <v>0</v>
      </c>
      <c r="X101" s="355">
        <f t="shared" si="224"/>
        <v>0</v>
      </c>
      <c r="Y101" s="355">
        <f t="shared" si="224"/>
        <v>0</v>
      </c>
      <c r="Z101" s="355">
        <f t="shared" si="224"/>
        <v>0</v>
      </c>
      <c r="AA101" s="355">
        <f t="shared" si="224"/>
        <v>0</v>
      </c>
      <c r="AB101" s="355">
        <f t="shared" si="224"/>
        <v>0</v>
      </c>
      <c r="AC101" s="355">
        <f t="shared" si="224"/>
        <v>0</v>
      </c>
      <c r="AD101" s="683">
        <f t="shared" si="224"/>
        <v>0</v>
      </c>
      <c r="AE101" s="829">
        <v>0</v>
      </c>
      <c r="AF101" s="356">
        <f t="shared" si="224"/>
        <v>0</v>
      </c>
      <c r="AG101" s="356">
        <f t="shared" si="224"/>
        <v>0</v>
      </c>
      <c r="AH101" s="356">
        <f t="shared" si="224"/>
        <v>0</v>
      </c>
      <c r="AI101" s="356">
        <f t="shared" si="224"/>
        <v>0</v>
      </c>
      <c r="AJ101" s="356">
        <f t="shared" si="224"/>
        <v>0</v>
      </c>
      <c r="AK101" s="253">
        <f t="shared" si="224"/>
        <v>0</v>
      </c>
      <c r="AL101" s="686">
        <f t="shared" si="224"/>
        <v>6432545</v>
      </c>
      <c r="AM101" s="355">
        <f t="shared" si="224"/>
        <v>4771918</v>
      </c>
      <c r="AN101" s="355">
        <f t="shared" si="224"/>
        <v>0</v>
      </c>
      <c r="AO101" s="355">
        <f t="shared" si="224"/>
        <v>1612908</v>
      </c>
      <c r="AP101" s="355">
        <f t="shared" si="224"/>
        <v>47719</v>
      </c>
      <c r="AQ101" s="355">
        <f t="shared" si="224"/>
        <v>0</v>
      </c>
      <c r="AR101" s="253">
        <f t="shared" si="224"/>
        <v>6.2725999999999997</v>
      </c>
    </row>
    <row r="102" spans="1:44" ht="12.95" customHeight="1" x14ac:dyDescent="0.25">
      <c r="A102" s="205">
        <v>24</v>
      </c>
      <c r="B102" s="246">
        <v>5427</v>
      </c>
      <c r="C102" s="247">
        <v>600099407</v>
      </c>
      <c r="D102" s="206">
        <v>72742534</v>
      </c>
      <c r="E102" s="248" t="s">
        <v>382</v>
      </c>
      <c r="F102" s="206">
        <v>3231</v>
      </c>
      <c r="G102" s="248" t="s">
        <v>383</v>
      </c>
      <c r="H102" s="209" t="s">
        <v>262</v>
      </c>
      <c r="I102" s="627">
        <f t="shared" ref="I102:I103" si="226">SUM(J102:M102)</f>
        <v>13355368</v>
      </c>
      <c r="J102" s="559">
        <v>9907543</v>
      </c>
      <c r="K102" s="431">
        <f t="shared" ref="K102:K103" si="227">ROUND(J102*33.8%,0)</f>
        <v>3348750</v>
      </c>
      <c r="L102" s="431">
        <f t="shared" ref="L102:L103" si="228">ROUND(J102*1%,0)</f>
        <v>99075</v>
      </c>
      <c r="M102" s="325">
        <v>0</v>
      </c>
      <c r="N102" s="751">
        <v>14.882099999999999</v>
      </c>
      <c r="O102" s="327">
        <f>V102*-1</f>
        <v>0</v>
      </c>
      <c r="P102" s="492">
        <v>0</v>
      </c>
      <c r="Q102" s="325">
        <v>0</v>
      </c>
      <c r="R102" s="325">
        <v>0</v>
      </c>
      <c r="S102" s="325">
        <v>0</v>
      </c>
      <c r="T102" s="325">
        <v>0</v>
      </c>
      <c r="U102" s="492">
        <f>O102+P102+Q102+R102+S102+T102</f>
        <v>0</v>
      </c>
      <c r="V102" s="325">
        <v>0</v>
      </c>
      <c r="W102" s="325">
        <v>0</v>
      </c>
      <c r="X102" s="325">
        <v>0</v>
      </c>
      <c r="Y102" s="492">
        <f t="shared" ref="Y102:Y103" si="229">V102+W102+X102</f>
        <v>0</v>
      </c>
      <c r="Z102" s="492">
        <f t="shared" ref="Z102:Z103" si="230">U102+Y102</f>
        <v>0</v>
      </c>
      <c r="AA102" s="494">
        <f t="shared" ref="AA102:AA103" si="231">ROUND((U102+Y102)*33.8%,0)</f>
        <v>0</v>
      </c>
      <c r="AB102" s="494">
        <f t="shared" ref="AB102:AB103" si="232">ROUND(U102*1%,0)</f>
        <v>0</v>
      </c>
      <c r="AC102" s="492">
        <v>0</v>
      </c>
      <c r="AD102" s="789">
        <f t="shared" ref="AD102:AD103" si="233">Z102+AA102+AB102+AC102</f>
        <v>0</v>
      </c>
      <c r="AE102" s="715">
        <v>0</v>
      </c>
      <c r="AF102" s="491">
        <v>0</v>
      </c>
      <c r="AG102" s="326">
        <v>0</v>
      </c>
      <c r="AH102" s="326">
        <v>0</v>
      </c>
      <c r="AI102" s="326">
        <v>0</v>
      </c>
      <c r="AJ102" s="326">
        <v>0</v>
      </c>
      <c r="AK102" s="626">
        <f>SUM(AE102:AJ102)</f>
        <v>0</v>
      </c>
      <c r="AL102" s="696">
        <f>I102+AD102</f>
        <v>13355368</v>
      </c>
      <c r="AM102" s="492">
        <f>J102+U102</f>
        <v>9907543</v>
      </c>
      <c r="AN102" s="492">
        <f>Y102</f>
        <v>0</v>
      </c>
      <c r="AO102" s="492">
        <f t="shared" ref="AO102:AQ103" si="234">K102+AA102</f>
        <v>3348750</v>
      </c>
      <c r="AP102" s="492">
        <f t="shared" si="234"/>
        <v>99075</v>
      </c>
      <c r="AQ102" s="492">
        <f t="shared" si="234"/>
        <v>0</v>
      </c>
      <c r="AR102" s="626">
        <f>N102+AK102</f>
        <v>14.882099999999999</v>
      </c>
    </row>
    <row r="103" spans="1:44" ht="12.95" customHeight="1" x14ac:dyDescent="0.25">
      <c r="A103" s="205">
        <v>24</v>
      </c>
      <c r="B103" s="246">
        <v>5427</v>
      </c>
      <c r="C103" s="247">
        <v>600099407</v>
      </c>
      <c r="D103" s="206">
        <v>72742534</v>
      </c>
      <c r="E103" s="248" t="s">
        <v>382</v>
      </c>
      <c r="F103" s="206">
        <v>3231</v>
      </c>
      <c r="G103" s="248" t="s">
        <v>284</v>
      </c>
      <c r="H103" s="209" t="s">
        <v>263</v>
      </c>
      <c r="I103" s="586">
        <f t="shared" si="226"/>
        <v>0</v>
      </c>
      <c r="J103" s="490"/>
      <c r="K103" s="431">
        <f t="shared" si="227"/>
        <v>0</v>
      </c>
      <c r="L103" s="431">
        <f t="shared" si="228"/>
        <v>0</v>
      </c>
      <c r="M103" s="325">
        <v>0</v>
      </c>
      <c r="N103" s="752"/>
      <c r="O103" s="327">
        <f>V103*-1</f>
        <v>0</v>
      </c>
      <c r="P103" s="492">
        <v>0</v>
      </c>
      <c r="Q103" s="325">
        <v>0</v>
      </c>
      <c r="R103" s="325">
        <v>0</v>
      </c>
      <c r="S103" s="325">
        <v>0</v>
      </c>
      <c r="T103" s="325">
        <v>0</v>
      </c>
      <c r="U103" s="492">
        <f>O103+P103+Q103+R103+S103+T103</f>
        <v>0</v>
      </c>
      <c r="V103" s="325">
        <v>0</v>
      </c>
      <c r="W103" s="325">
        <v>0</v>
      </c>
      <c r="X103" s="325">
        <v>0</v>
      </c>
      <c r="Y103" s="492">
        <f t="shared" si="229"/>
        <v>0</v>
      </c>
      <c r="Z103" s="492">
        <f t="shared" si="230"/>
        <v>0</v>
      </c>
      <c r="AA103" s="494">
        <f t="shared" si="231"/>
        <v>0</v>
      </c>
      <c r="AB103" s="494">
        <f t="shared" si="232"/>
        <v>0</v>
      </c>
      <c r="AC103" s="492">
        <v>0</v>
      </c>
      <c r="AD103" s="789">
        <f t="shared" si="233"/>
        <v>0</v>
      </c>
      <c r="AE103" s="715">
        <v>0</v>
      </c>
      <c r="AF103" s="491">
        <v>0</v>
      </c>
      <c r="AG103" s="326">
        <v>0</v>
      </c>
      <c r="AH103" s="326">
        <v>0</v>
      </c>
      <c r="AI103" s="326">
        <v>0</v>
      </c>
      <c r="AJ103" s="326">
        <v>0</v>
      </c>
      <c r="AK103" s="626">
        <f>SUM(AE103:AJ103)</f>
        <v>0</v>
      </c>
      <c r="AL103" s="696">
        <f>I103+AD103</f>
        <v>0</v>
      </c>
      <c r="AM103" s="492">
        <f>J103+U103</f>
        <v>0</v>
      </c>
      <c r="AN103" s="492">
        <f>Y103</f>
        <v>0</v>
      </c>
      <c r="AO103" s="492">
        <f t="shared" si="234"/>
        <v>0</v>
      </c>
      <c r="AP103" s="492">
        <f t="shared" si="234"/>
        <v>0</v>
      </c>
      <c r="AQ103" s="492">
        <f t="shared" si="234"/>
        <v>0</v>
      </c>
      <c r="AR103" s="626">
        <f>N103+AK103</f>
        <v>0</v>
      </c>
    </row>
    <row r="104" spans="1:44" ht="12.95" customHeight="1" x14ac:dyDescent="0.25">
      <c r="A104" s="249">
        <v>24</v>
      </c>
      <c r="B104" s="250">
        <v>5427</v>
      </c>
      <c r="C104" s="251">
        <v>600099407</v>
      </c>
      <c r="D104" s="250">
        <v>72742534</v>
      </c>
      <c r="E104" s="252" t="s">
        <v>384</v>
      </c>
      <c r="F104" s="216"/>
      <c r="G104" s="254"/>
      <c r="H104" s="217"/>
      <c r="I104" s="686">
        <f t="shared" ref="I104:AR104" si="235">SUM(I102:I103)</f>
        <v>13355368</v>
      </c>
      <c r="J104" s="355">
        <f t="shared" si="235"/>
        <v>9907543</v>
      </c>
      <c r="K104" s="355">
        <f t="shared" si="235"/>
        <v>3348750</v>
      </c>
      <c r="L104" s="355">
        <f t="shared" si="235"/>
        <v>99075</v>
      </c>
      <c r="M104" s="355">
        <f t="shared" ref="M104" si="236">SUM(M102:M103)</f>
        <v>0</v>
      </c>
      <c r="N104" s="816">
        <f t="shared" si="235"/>
        <v>14.882099999999999</v>
      </c>
      <c r="O104" s="686">
        <f t="shared" si="235"/>
        <v>0</v>
      </c>
      <c r="P104" s="355">
        <f t="shared" si="235"/>
        <v>0</v>
      </c>
      <c r="Q104" s="355">
        <f t="shared" si="235"/>
        <v>0</v>
      </c>
      <c r="R104" s="355">
        <f t="shared" si="235"/>
        <v>0</v>
      </c>
      <c r="S104" s="355">
        <f t="shared" si="235"/>
        <v>0</v>
      </c>
      <c r="T104" s="355">
        <f t="shared" si="235"/>
        <v>0</v>
      </c>
      <c r="U104" s="355">
        <f t="shared" si="235"/>
        <v>0</v>
      </c>
      <c r="V104" s="355">
        <f t="shared" si="235"/>
        <v>0</v>
      </c>
      <c r="W104" s="355">
        <f t="shared" si="235"/>
        <v>0</v>
      </c>
      <c r="X104" s="355">
        <f t="shared" si="235"/>
        <v>0</v>
      </c>
      <c r="Y104" s="355">
        <f t="shared" si="235"/>
        <v>0</v>
      </c>
      <c r="Z104" s="355">
        <f t="shared" si="235"/>
        <v>0</v>
      </c>
      <c r="AA104" s="355">
        <f t="shared" si="235"/>
        <v>0</v>
      </c>
      <c r="AB104" s="355">
        <f t="shared" si="235"/>
        <v>0</v>
      </c>
      <c r="AC104" s="355">
        <f t="shared" si="235"/>
        <v>0</v>
      </c>
      <c r="AD104" s="683">
        <f t="shared" si="235"/>
        <v>0</v>
      </c>
      <c r="AE104" s="829">
        <v>0</v>
      </c>
      <c r="AF104" s="356">
        <f t="shared" si="235"/>
        <v>0</v>
      </c>
      <c r="AG104" s="356">
        <f t="shared" si="235"/>
        <v>0</v>
      </c>
      <c r="AH104" s="356">
        <f t="shared" si="235"/>
        <v>0</v>
      </c>
      <c r="AI104" s="356">
        <f t="shared" si="235"/>
        <v>0</v>
      </c>
      <c r="AJ104" s="356">
        <f t="shared" si="235"/>
        <v>0</v>
      </c>
      <c r="AK104" s="253">
        <f t="shared" si="235"/>
        <v>0</v>
      </c>
      <c r="AL104" s="686">
        <f t="shared" si="235"/>
        <v>13355368</v>
      </c>
      <c r="AM104" s="355">
        <f t="shared" si="235"/>
        <v>9907543</v>
      </c>
      <c r="AN104" s="355">
        <f t="shared" si="235"/>
        <v>0</v>
      </c>
      <c r="AO104" s="355">
        <f t="shared" si="235"/>
        <v>3348750</v>
      </c>
      <c r="AP104" s="355">
        <f t="shared" si="235"/>
        <v>99075</v>
      </c>
      <c r="AQ104" s="355">
        <f t="shared" si="235"/>
        <v>0</v>
      </c>
      <c r="AR104" s="253">
        <f t="shared" si="235"/>
        <v>14.882099999999999</v>
      </c>
    </row>
    <row r="105" spans="1:44" ht="12.95" customHeight="1" x14ac:dyDescent="0.25">
      <c r="A105" s="205">
        <v>25</v>
      </c>
      <c r="B105" s="246">
        <v>5432</v>
      </c>
      <c r="C105" s="247">
        <v>600099024</v>
      </c>
      <c r="D105" s="206">
        <v>71003819</v>
      </c>
      <c r="E105" s="248" t="s">
        <v>385</v>
      </c>
      <c r="F105" s="206">
        <v>3111</v>
      </c>
      <c r="G105" s="248" t="s">
        <v>290</v>
      </c>
      <c r="H105" s="209" t="s">
        <v>262</v>
      </c>
      <c r="I105" s="627">
        <f t="shared" ref="I105:I108" si="237">SUM(J105:M105)</f>
        <v>1602027</v>
      </c>
      <c r="J105" s="559">
        <v>1188448</v>
      </c>
      <c r="K105" s="431">
        <f t="shared" ref="K105:K108" si="238">ROUND(J105*33.8%,0)</f>
        <v>401695</v>
      </c>
      <c r="L105" s="431">
        <f t="shared" ref="L105:L108" si="239">ROUND(J105*1%,0)</f>
        <v>11884</v>
      </c>
      <c r="M105" s="325">
        <v>0</v>
      </c>
      <c r="N105" s="751">
        <v>2</v>
      </c>
      <c r="O105" s="327">
        <f t="shared" ref="O105:O108" si="240">V105*-1</f>
        <v>-3000</v>
      </c>
      <c r="P105" s="492">
        <v>0</v>
      </c>
      <c r="Q105" s="325">
        <v>0</v>
      </c>
      <c r="R105" s="325">
        <v>0</v>
      </c>
      <c r="S105" s="325">
        <v>0</v>
      </c>
      <c r="T105" s="325">
        <v>0</v>
      </c>
      <c r="U105" s="492">
        <f>O105+P105+Q105+R105+S105+T105</f>
        <v>-3000</v>
      </c>
      <c r="V105" s="325">
        <v>3000</v>
      </c>
      <c r="W105" s="325">
        <v>0</v>
      </c>
      <c r="X105" s="325">
        <v>0</v>
      </c>
      <c r="Y105" s="492">
        <f t="shared" ref="Y105:Y108" si="241">V105+W105+X105</f>
        <v>3000</v>
      </c>
      <c r="Z105" s="492">
        <f t="shared" ref="Z105:Z108" si="242">U105+Y105</f>
        <v>0</v>
      </c>
      <c r="AA105" s="494">
        <f t="shared" ref="AA105:AA108" si="243">ROUND((U105+Y105)*33.8%,0)</f>
        <v>0</v>
      </c>
      <c r="AB105" s="494">
        <f t="shared" ref="AB105:AB108" si="244">ROUND(U105*1%,0)</f>
        <v>-30</v>
      </c>
      <c r="AC105" s="492">
        <v>0</v>
      </c>
      <c r="AD105" s="789">
        <f t="shared" ref="AD105:AD108" si="245">Z105+AA105+AB105+AC105</f>
        <v>-30</v>
      </c>
      <c r="AE105" s="715">
        <v>0</v>
      </c>
      <c r="AF105" s="491">
        <v>0</v>
      </c>
      <c r="AG105" s="326">
        <v>0</v>
      </c>
      <c r="AH105" s="326">
        <v>0</v>
      </c>
      <c r="AI105" s="326">
        <v>0</v>
      </c>
      <c r="AJ105" s="326">
        <v>0</v>
      </c>
      <c r="AK105" s="626">
        <f>SUM(AE105:AJ105)</f>
        <v>0</v>
      </c>
      <c r="AL105" s="696">
        <f>I105+AD105</f>
        <v>1601997</v>
      </c>
      <c r="AM105" s="492">
        <f>J105+U105</f>
        <v>1185448</v>
      </c>
      <c r="AN105" s="492">
        <f>Y105</f>
        <v>3000</v>
      </c>
      <c r="AO105" s="492">
        <f t="shared" ref="AO105:AQ108" si="246">K105+AA105</f>
        <v>401695</v>
      </c>
      <c r="AP105" s="492">
        <f t="shared" si="246"/>
        <v>11854</v>
      </c>
      <c r="AQ105" s="492">
        <f t="shared" si="246"/>
        <v>0</v>
      </c>
      <c r="AR105" s="626">
        <f>N105+AK105</f>
        <v>2</v>
      </c>
    </row>
    <row r="106" spans="1:44" ht="12.95" customHeight="1" x14ac:dyDescent="0.25">
      <c r="A106" s="205">
        <v>25</v>
      </c>
      <c r="B106" s="246">
        <v>5432</v>
      </c>
      <c r="C106" s="247">
        <v>600099024</v>
      </c>
      <c r="D106" s="206">
        <v>71003819</v>
      </c>
      <c r="E106" s="248" t="s">
        <v>385</v>
      </c>
      <c r="F106" s="206">
        <v>3117</v>
      </c>
      <c r="G106" s="248" t="s">
        <v>280</v>
      </c>
      <c r="H106" s="209" t="s">
        <v>262</v>
      </c>
      <c r="I106" s="586">
        <f t="shared" si="237"/>
        <v>2803135</v>
      </c>
      <c r="J106" s="490">
        <v>2079476</v>
      </c>
      <c r="K106" s="431">
        <f>ROUND(J106*33.8%,0)+1</f>
        <v>702864</v>
      </c>
      <c r="L106" s="431">
        <f t="shared" si="239"/>
        <v>20795</v>
      </c>
      <c r="M106" s="325">
        <v>0</v>
      </c>
      <c r="N106" s="752">
        <v>3.2570000000000001</v>
      </c>
      <c r="O106" s="327">
        <f t="shared" si="240"/>
        <v>-12000</v>
      </c>
      <c r="P106" s="492">
        <v>0</v>
      </c>
      <c r="Q106" s="325">
        <v>0</v>
      </c>
      <c r="R106" s="325">
        <v>0</v>
      </c>
      <c r="S106" s="325">
        <v>0</v>
      </c>
      <c r="T106" s="325">
        <v>0</v>
      </c>
      <c r="U106" s="492">
        <f>O106+P106+Q106+R106+S106+T106</f>
        <v>-12000</v>
      </c>
      <c r="V106" s="325">
        <v>12000</v>
      </c>
      <c r="W106" s="325">
        <v>0</v>
      </c>
      <c r="X106" s="325">
        <v>0</v>
      </c>
      <c r="Y106" s="492">
        <f t="shared" si="241"/>
        <v>12000</v>
      </c>
      <c r="Z106" s="492">
        <f t="shared" si="242"/>
        <v>0</v>
      </c>
      <c r="AA106" s="494">
        <f t="shared" si="243"/>
        <v>0</v>
      </c>
      <c r="AB106" s="494">
        <f t="shared" si="244"/>
        <v>-120</v>
      </c>
      <c r="AC106" s="492">
        <v>0</v>
      </c>
      <c r="AD106" s="789">
        <f t="shared" si="245"/>
        <v>-120</v>
      </c>
      <c r="AE106" s="715">
        <v>0</v>
      </c>
      <c r="AF106" s="491">
        <v>0</v>
      </c>
      <c r="AG106" s="326">
        <v>0</v>
      </c>
      <c r="AH106" s="326">
        <v>0</v>
      </c>
      <c r="AI106" s="326">
        <v>0</v>
      </c>
      <c r="AJ106" s="326">
        <v>0</v>
      </c>
      <c r="AK106" s="626">
        <f>SUM(AE106:AJ106)</f>
        <v>0</v>
      </c>
      <c r="AL106" s="696">
        <f>I106+AD106</f>
        <v>2803015</v>
      </c>
      <c r="AM106" s="492">
        <f>J106+U106</f>
        <v>2067476</v>
      </c>
      <c r="AN106" s="492">
        <f>Y106</f>
        <v>12000</v>
      </c>
      <c r="AO106" s="492">
        <f t="shared" si="246"/>
        <v>702864</v>
      </c>
      <c r="AP106" s="492">
        <f t="shared" si="246"/>
        <v>20675</v>
      </c>
      <c r="AQ106" s="492">
        <f t="shared" si="246"/>
        <v>0</v>
      </c>
      <c r="AR106" s="626">
        <f>N106+AK106</f>
        <v>3.2570000000000001</v>
      </c>
    </row>
    <row r="107" spans="1:44" ht="12.95" customHeight="1" x14ac:dyDescent="0.25">
      <c r="A107" s="205">
        <v>25</v>
      </c>
      <c r="B107" s="246">
        <v>5432</v>
      </c>
      <c r="C107" s="247">
        <v>600099024</v>
      </c>
      <c r="D107" s="206">
        <v>71003819</v>
      </c>
      <c r="E107" s="248" t="s">
        <v>385</v>
      </c>
      <c r="F107" s="206">
        <v>3117</v>
      </c>
      <c r="G107" s="248" t="s">
        <v>284</v>
      </c>
      <c r="H107" s="209" t="s">
        <v>263</v>
      </c>
      <c r="I107" s="586">
        <f t="shared" si="237"/>
        <v>0</v>
      </c>
      <c r="J107" s="490"/>
      <c r="K107" s="431">
        <f t="shared" si="238"/>
        <v>0</v>
      </c>
      <c r="L107" s="431">
        <f t="shared" si="239"/>
        <v>0</v>
      </c>
      <c r="M107" s="325">
        <v>0</v>
      </c>
      <c r="N107" s="752"/>
      <c r="O107" s="327">
        <f t="shared" si="240"/>
        <v>0</v>
      </c>
      <c r="P107" s="492">
        <v>253546</v>
      </c>
      <c r="Q107" s="325">
        <v>0</v>
      </c>
      <c r="R107" s="325">
        <v>0</v>
      </c>
      <c r="S107" s="325">
        <v>0</v>
      </c>
      <c r="T107" s="325">
        <v>0</v>
      </c>
      <c r="U107" s="492">
        <f>O107+P107+Q107+R107+S107+T107</f>
        <v>253546</v>
      </c>
      <c r="V107" s="325">
        <v>0</v>
      </c>
      <c r="W107" s="325">
        <v>0</v>
      </c>
      <c r="X107" s="325">
        <v>0</v>
      </c>
      <c r="Y107" s="492">
        <f t="shared" si="241"/>
        <v>0</v>
      </c>
      <c r="Z107" s="492">
        <f t="shared" si="242"/>
        <v>253546</v>
      </c>
      <c r="AA107" s="494">
        <f t="shared" si="243"/>
        <v>85699</v>
      </c>
      <c r="AB107" s="494">
        <f t="shared" si="244"/>
        <v>2535</v>
      </c>
      <c r="AC107" s="492">
        <v>0</v>
      </c>
      <c r="AD107" s="789">
        <f t="shared" si="245"/>
        <v>341780</v>
      </c>
      <c r="AE107" s="715">
        <v>0</v>
      </c>
      <c r="AF107" s="491">
        <v>0.64</v>
      </c>
      <c r="AG107" s="326">
        <v>0</v>
      </c>
      <c r="AH107" s="326">
        <v>0</v>
      </c>
      <c r="AI107" s="326">
        <v>0</v>
      </c>
      <c r="AJ107" s="326">
        <v>0</v>
      </c>
      <c r="AK107" s="626">
        <f>SUM(AE107:AJ107)</f>
        <v>0.64</v>
      </c>
      <c r="AL107" s="696">
        <f>I107+AD107</f>
        <v>341780</v>
      </c>
      <c r="AM107" s="492">
        <f>J107+U107</f>
        <v>253546</v>
      </c>
      <c r="AN107" s="492">
        <f>Y107</f>
        <v>0</v>
      </c>
      <c r="AO107" s="492">
        <f t="shared" si="246"/>
        <v>85699</v>
      </c>
      <c r="AP107" s="492">
        <f t="shared" si="246"/>
        <v>2535</v>
      </c>
      <c r="AQ107" s="492">
        <f t="shared" si="246"/>
        <v>0</v>
      </c>
      <c r="AR107" s="626">
        <f>N107+AK107</f>
        <v>0.64</v>
      </c>
    </row>
    <row r="108" spans="1:44" ht="12.95" customHeight="1" x14ac:dyDescent="0.25">
      <c r="A108" s="205">
        <v>25</v>
      </c>
      <c r="B108" s="246">
        <v>5432</v>
      </c>
      <c r="C108" s="247">
        <v>600099024</v>
      </c>
      <c r="D108" s="206">
        <v>71003819</v>
      </c>
      <c r="E108" s="248" t="s">
        <v>385</v>
      </c>
      <c r="F108" s="206">
        <v>3143</v>
      </c>
      <c r="G108" s="248" t="s">
        <v>794</v>
      </c>
      <c r="H108" s="209" t="s">
        <v>262</v>
      </c>
      <c r="I108" s="586">
        <f t="shared" si="237"/>
        <v>748233</v>
      </c>
      <c r="J108" s="490">
        <v>555069</v>
      </c>
      <c r="K108" s="431">
        <f t="shared" si="238"/>
        <v>187613</v>
      </c>
      <c r="L108" s="431">
        <f t="shared" si="239"/>
        <v>5551</v>
      </c>
      <c r="M108" s="325">
        <v>0</v>
      </c>
      <c r="N108" s="752">
        <v>1.0831</v>
      </c>
      <c r="O108" s="327">
        <f t="shared" si="240"/>
        <v>-3000</v>
      </c>
      <c r="P108" s="492">
        <v>0</v>
      </c>
      <c r="Q108" s="325">
        <v>0</v>
      </c>
      <c r="R108" s="325">
        <v>0</v>
      </c>
      <c r="S108" s="325">
        <v>0</v>
      </c>
      <c r="T108" s="325">
        <v>0</v>
      </c>
      <c r="U108" s="492">
        <f>O108+P108+Q108+R108+S108+T108</f>
        <v>-3000</v>
      </c>
      <c r="V108" s="325">
        <v>3000</v>
      </c>
      <c r="W108" s="325">
        <v>0</v>
      </c>
      <c r="X108" s="325">
        <v>0</v>
      </c>
      <c r="Y108" s="492">
        <f t="shared" si="241"/>
        <v>3000</v>
      </c>
      <c r="Z108" s="492">
        <f t="shared" si="242"/>
        <v>0</v>
      </c>
      <c r="AA108" s="494">
        <f t="shared" si="243"/>
        <v>0</v>
      </c>
      <c r="AB108" s="494">
        <f t="shared" si="244"/>
        <v>-30</v>
      </c>
      <c r="AC108" s="492">
        <v>0</v>
      </c>
      <c r="AD108" s="789">
        <f t="shared" si="245"/>
        <v>-30</v>
      </c>
      <c r="AE108" s="715">
        <v>0</v>
      </c>
      <c r="AF108" s="491">
        <v>0</v>
      </c>
      <c r="AG108" s="326">
        <v>0</v>
      </c>
      <c r="AH108" s="326">
        <v>0</v>
      </c>
      <c r="AI108" s="326">
        <v>0</v>
      </c>
      <c r="AJ108" s="326">
        <v>0</v>
      </c>
      <c r="AK108" s="626">
        <f>SUM(AE108:AJ108)</f>
        <v>0</v>
      </c>
      <c r="AL108" s="696">
        <f>I108+AD108</f>
        <v>748203</v>
      </c>
      <c r="AM108" s="492">
        <f>J108+U108</f>
        <v>552069</v>
      </c>
      <c r="AN108" s="492">
        <f>Y108</f>
        <v>3000</v>
      </c>
      <c r="AO108" s="492">
        <f t="shared" si="246"/>
        <v>187613</v>
      </c>
      <c r="AP108" s="492">
        <f t="shared" si="246"/>
        <v>5521</v>
      </c>
      <c r="AQ108" s="492">
        <f t="shared" si="246"/>
        <v>0</v>
      </c>
      <c r="AR108" s="626">
        <f>N108+AK108</f>
        <v>1.0831</v>
      </c>
    </row>
    <row r="109" spans="1:44" ht="12.95" customHeight="1" x14ac:dyDescent="0.25">
      <c r="A109" s="249">
        <v>25</v>
      </c>
      <c r="B109" s="250">
        <v>5432</v>
      </c>
      <c r="C109" s="251">
        <v>600099024</v>
      </c>
      <c r="D109" s="250">
        <v>71003819</v>
      </c>
      <c r="E109" s="252" t="s">
        <v>386</v>
      </c>
      <c r="F109" s="216"/>
      <c r="G109" s="254"/>
      <c r="H109" s="217"/>
      <c r="I109" s="686">
        <f t="shared" ref="I109:AR109" si="247">SUM(I105:I108)</f>
        <v>5153395</v>
      </c>
      <c r="J109" s="355">
        <f t="shared" si="247"/>
        <v>3822993</v>
      </c>
      <c r="K109" s="355">
        <f t="shared" si="247"/>
        <v>1292172</v>
      </c>
      <c r="L109" s="355">
        <f t="shared" si="247"/>
        <v>38230</v>
      </c>
      <c r="M109" s="355">
        <f t="shared" ref="M109" si="248">SUM(M105:M108)</f>
        <v>0</v>
      </c>
      <c r="N109" s="816">
        <f t="shared" si="247"/>
        <v>6.3400999999999996</v>
      </c>
      <c r="O109" s="686">
        <f t="shared" si="247"/>
        <v>-18000</v>
      </c>
      <c r="P109" s="355">
        <f t="shared" si="247"/>
        <v>253546</v>
      </c>
      <c r="Q109" s="355">
        <f t="shared" si="247"/>
        <v>0</v>
      </c>
      <c r="R109" s="355">
        <f t="shared" si="247"/>
        <v>0</v>
      </c>
      <c r="S109" s="355">
        <f t="shared" si="247"/>
        <v>0</v>
      </c>
      <c r="T109" s="355">
        <f t="shared" si="247"/>
        <v>0</v>
      </c>
      <c r="U109" s="355">
        <f t="shared" si="247"/>
        <v>235546</v>
      </c>
      <c r="V109" s="355">
        <f t="shared" si="247"/>
        <v>18000</v>
      </c>
      <c r="W109" s="355">
        <f t="shared" si="247"/>
        <v>0</v>
      </c>
      <c r="X109" s="355">
        <f t="shared" si="247"/>
        <v>0</v>
      </c>
      <c r="Y109" s="355">
        <f t="shared" si="247"/>
        <v>18000</v>
      </c>
      <c r="Z109" s="355">
        <f t="shared" si="247"/>
        <v>253546</v>
      </c>
      <c r="AA109" s="355">
        <f t="shared" si="247"/>
        <v>85699</v>
      </c>
      <c r="AB109" s="355">
        <f t="shared" si="247"/>
        <v>2355</v>
      </c>
      <c r="AC109" s="355">
        <f t="shared" si="247"/>
        <v>0</v>
      </c>
      <c r="AD109" s="683">
        <f t="shared" si="247"/>
        <v>341600</v>
      </c>
      <c r="AE109" s="829">
        <v>0</v>
      </c>
      <c r="AF109" s="356">
        <f t="shared" si="247"/>
        <v>0.64</v>
      </c>
      <c r="AG109" s="356">
        <f t="shared" si="247"/>
        <v>0</v>
      </c>
      <c r="AH109" s="356">
        <f t="shared" si="247"/>
        <v>0</v>
      </c>
      <c r="AI109" s="356">
        <f t="shared" si="247"/>
        <v>0</v>
      </c>
      <c r="AJ109" s="356">
        <f t="shared" si="247"/>
        <v>0</v>
      </c>
      <c r="AK109" s="253">
        <f t="shared" si="247"/>
        <v>0.64</v>
      </c>
      <c r="AL109" s="686">
        <f t="shared" si="247"/>
        <v>5494995</v>
      </c>
      <c r="AM109" s="355">
        <f t="shared" si="247"/>
        <v>4058539</v>
      </c>
      <c r="AN109" s="355">
        <f t="shared" si="247"/>
        <v>18000</v>
      </c>
      <c r="AO109" s="355">
        <f t="shared" si="247"/>
        <v>1377871</v>
      </c>
      <c r="AP109" s="355">
        <f t="shared" si="247"/>
        <v>40585</v>
      </c>
      <c r="AQ109" s="355">
        <f t="shared" si="247"/>
        <v>0</v>
      </c>
      <c r="AR109" s="253">
        <f t="shared" si="247"/>
        <v>6.9800999999999993</v>
      </c>
    </row>
    <row r="110" spans="1:44" ht="12.95" customHeight="1" x14ac:dyDescent="0.25">
      <c r="A110" s="205">
        <v>26</v>
      </c>
      <c r="B110" s="246">
        <v>5452</v>
      </c>
      <c r="C110" s="247">
        <v>600099245</v>
      </c>
      <c r="D110" s="206">
        <v>70188416</v>
      </c>
      <c r="E110" s="248" t="s">
        <v>387</v>
      </c>
      <c r="F110" s="206">
        <v>3111</v>
      </c>
      <c r="G110" s="248" t="s">
        <v>290</v>
      </c>
      <c r="H110" s="209" t="s">
        <v>262</v>
      </c>
      <c r="I110" s="627">
        <f t="shared" ref="I110:I113" si="249">SUM(J110:M110)</f>
        <v>1631455</v>
      </c>
      <c r="J110" s="559">
        <v>1210278</v>
      </c>
      <c r="K110" s="431">
        <f t="shared" ref="K110:K113" si="250">ROUND(J110*33.8%,0)</f>
        <v>409074</v>
      </c>
      <c r="L110" s="431">
        <f t="shared" ref="L110:L113" si="251">ROUND(J110*1%,0)</f>
        <v>12103</v>
      </c>
      <c r="M110" s="325">
        <v>0</v>
      </c>
      <c r="N110" s="751">
        <v>1.9354</v>
      </c>
      <c r="O110" s="327">
        <f t="shared" ref="O110:O113" si="252">V110*-1</f>
        <v>-4800</v>
      </c>
      <c r="P110" s="492">
        <v>0</v>
      </c>
      <c r="Q110" s="325">
        <v>0</v>
      </c>
      <c r="R110" s="325">
        <v>0</v>
      </c>
      <c r="S110" s="325">
        <v>0</v>
      </c>
      <c r="T110" s="325">
        <v>0</v>
      </c>
      <c r="U110" s="492">
        <f>O110+P110+Q110+R110+S110+T110</f>
        <v>-4800</v>
      </c>
      <c r="V110" s="325">
        <v>4800</v>
      </c>
      <c r="W110" s="325">
        <v>0</v>
      </c>
      <c r="X110" s="325">
        <v>0</v>
      </c>
      <c r="Y110" s="492">
        <f t="shared" ref="Y110:Y113" si="253">V110+W110+X110</f>
        <v>4800</v>
      </c>
      <c r="Z110" s="492">
        <f t="shared" ref="Z110:Z113" si="254">U110+Y110</f>
        <v>0</v>
      </c>
      <c r="AA110" s="494">
        <f t="shared" ref="AA110:AA113" si="255">ROUND((U110+Y110)*33.8%,0)</f>
        <v>0</v>
      </c>
      <c r="AB110" s="494">
        <f t="shared" ref="AB110:AB113" si="256">ROUND(U110*1%,0)</f>
        <v>-48</v>
      </c>
      <c r="AC110" s="492">
        <v>0</v>
      </c>
      <c r="AD110" s="789">
        <f t="shared" ref="AD110:AD113" si="257">Z110+AA110+AB110+AC110</f>
        <v>-48</v>
      </c>
      <c r="AE110" s="715">
        <v>0</v>
      </c>
      <c r="AF110" s="491">
        <v>0</v>
      </c>
      <c r="AG110" s="326">
        <v>0</v>
      </c>
      <c r="AH110" s="326">
        <v>0</v>
      </c>
      <c r="AI110" s="326">
        <v>0</v>
      </c>
      <c r="AJ110" s="326">
        <v>0</v>
      </c>
      <c r="AK110" s="626">
        <f>SUM(AE110:AJ110)</f>
        <v>0</v>
      </c>
      <c r="AL110" s="696">
        <f>I110+AD110</f>
        <v>1631407</v>
      </c>
      <c r="AM110" s="492">
        <f>J110+U110</f>
        <v>1205478</v>
      </c>
      <c r="AN110" s="492">
        <f>Y110</f>
        <v>4800</v>
      </c>
      <c r="AO110" s="492">
        <f t="shared" ref="AO110:AQ113" si="258">K110+AA110</f>
        <v>409074</v>
      </c>
      <c r="AP110" s="492">
        <f t="shared" si="258"/>
        <v>12055</v>
      </c>
      <c r="AQ110" s="492">
        <f t="shared" si="258"/>
        <v>0</v>
      </c>
      <c r="AR110" s="626">
        <f>N110+AK110</f>
        <v>1.9354</v>
      </c>
    </row>
    <row r="111" spans="1:44" ht="12.95" customHeight="1" x14ac:dyDescent="0.25">
      <c r="A111" s="205">
        <v>26</v>
      </c>
      <c r="B111" s="246">
        <v>5452</v>
      </c>
      <c r="C111" s="247">
        <v>600099245</v>
      </c>
      <c r="D111" s="206">
        <v>70188416</v>
      </c>
      <c r="E111" s="248" t="s">
        <v>387</v>
      </c>
      <c r="F111" s="206">
        <v>3117</v>
      </c>
      <c r="G111" s="248" t="s">
        <v>280</v>
      </c>
      <c r="H111" s="209" t="s">
        <v>262</v>
      </c>
      <c r="I111" s="586">
        <f t="shared" si="249"/>
        <v>3326070</v>
      </c>
      <c r="J111" s="490">
        <v>2467412</v>
      </c>
      <c r="K111" s="431">
        <f t="shared" si="250"/>
        <v>833985</v>
      </c>
      <c r="L111" s="431">
        <f>ROUND(J111*1%,0)-1</f>
        <v>24673</v>
      </c>
      <c r="M111" s="325">
        <v>0</v>
      </c>
      <c r="N111" s="752">
        <v>3.7090000000000001</v>
      </c>
      <c r="O111" s="327">
        <f t="shared" si="252"/>
        <v>-9000</v>
      </c>
      <c r="P111" s="492">
        <v>0</v>
      </c>
      <c r="Q111" s="325">
        <v>0</v>
      </c>
      <c r="R111" s="325">
        <v>0</v>
      </c>
      <c r="S111" s="325">
        <v>0</v>
      </c>
      <c r="T111" s="325">
        <v>0</v>
      </c>
      <c r="U111" s="492">
        <f>O111+P111+Q111+R111+S111+T111</f>
        <v>-9000</v>
      </c>
      <c r="V111" s="325">
        <v>9000</v>
      </c>
      <c r="W111" s="325">
        <v>0</v>
      </c>
      <c r="X111" s="325">
        <v>0</v>
      </c>
      <c r="Y111" s="492">
        <f t="shared" si="253"/>
        <v>9000</v>
      </c>
      <c r="Z111" s="492">
        <f t="shared" si="254"/>
        <v>0</v>
      </c>
      <c r="AA111" s="494">
        <f t="shared" si="255"/>
        <v>0</v>
      </c>
      <c r="AB111" s="494">
        <f t="shared" si="256"/>
        <v>-90</v>
      </c>
      <c r="AC111" s="492">
        <v>0</v>
      </c>
      <c r="AD111" s="789">
        <f t="shared" si="257"/>
        <v>-90</v>
      </c>
      <c r="AE111" s="715">
        <v>-0.01</v>
      </c>
      <c r="AF111" s="491">
        <v>0</v>
      </c>
      <c r="AG111" s="326">
        <v>0</v>
      </c>
      <c r="AH111" s="326">
        <v>0</v>
      </c>
      <c r="AI111" s="326">
        <v>0</v>
      </c>
      <c r="AJ111" s="326">
        <v>0</v>
      </c>
      <c r="AK111" s="626">
        <f>SUM(AE111:AJ111)</f>
        <v>-0.01</v>
      </c>
      <c r="AL111" s="696">
        <f>I111+AD111</f>
        <v>3325980</v>
      </c>
      <c r="AM111" s="492">
        <f>J111+U111</f>
        <v>2458412</v>
      </c>
      <c r="AN111" s="492">
        <f>Y111</f>
        <v>9000</v>
      </c>
      <c r="AO111" s="492">
        <f t="shared" si="258"/>
        <v>833985</v>
      </c>
      <c r="AP111" s="492">
        <f t="shared" si="258"/>
        <v>24583</v>
      </c>
      <c r="AQ111" s="492">
        <f t="shared" si="258"/>
        <v>0</v>
      </c>
      <c r="AR111" s="626">
        <f>N111+AK111</f>
        <v>3.6990000000000003</v>
      </c>
    </row>
    <row r="112" spans="1:44" ht="12.95" customHeight="1" x14ac:dyDescent="0.25">
      <c r="A112" s="205">
        <v>26</v>
      </c>
      <c r="B112" s="246">
        <v>5452</v>
      </c>
      <c r="C112" s="247">
        <v>600099245</v>
      </c>
      <c r="D112" s="206">
        <v>70188416</v>
      </c>
      <c r="E112" s="248" t="s">
        <v>387</v>
      </c>
      <c r="F112" s="206">
        <v>3117</v>
      </c>
      <c r="G112" s="248" t="s">
        <v>284</v>
      </c>
      <c r="H112" s="209" t="s">
        <v>263</v>
      </c>
      <c r="I112" s="586">
        <f t="shared" si="249"/>
        <v>0</v>
      </c>
      <c r="J112" s="490"/>
      <c r="K112" s="431">
        <f t="shared" si="250"/>
        <v>0</v>
      </c>
      <c r="L112" s="431">
        <f t="shared" si="251"/>
        <v>0</v>
      </c>
      <c r="M112" s="325">
        <v>0</v>
      </c>
      <c r="N112" s="752"/>
      <c r="O112" s="327">
        <f t="shared" si="252"/>
        <v>0</v>
      </c>
      <c r="P112" s="492">
        <v>1318566</v>
      </c>
      <c r="Q112" s="325">
        <v>0</v>
      </c>
      <c r="R112" s="325">
        <v>0</v>
      </c>
      <c r="S112" s="325">
        <v>0</v>
      </c>
      <c r="T112" s="325">
        <v>0</v>
      </c>
      <c r="U112" s="492">
        <f>O112+P112+Q112+R112+S112+T112</f>
        <v>1318566</v>
      </c>
      <c r="V112" s="325">
        <v>0</v>
      </c>
      <c r="W112" s="325">
        <v>0</v>
      </c>
      <c r="X112" s="325">
        <v>0</v>
      </c>
      <c r="Y112" s="492">
        <f t="shared" si="253"/>
        <v>0</v>
      </c>
      <c r="Z112" s="492">
        <f t="shared" si="254"/>
        <v>1318566</v>
      </c>
      <c r="AA112" s="494">
        <f t="shared" si="255"/>
        <v>445675</v>
      </c>
      <c r="AB112" s="494">
        <f t="shared" si="256"/>
        <v>13186</v>
      </c>
      <c r="AC112" s="492">
        <v>0</v>
      </c>
      <c r="AD112" s="789">
        <f t="shared" si="257"/>
        <v>1777427</v>
      </c>
      <c r="AE112" s="715">
        <v>0</v>
      </c>
      <c r="AF112" s="491">
        <v>3.2600000000000002</v>
      </c>
      <c r="AG112" s="326">
        <v>0</v>
      </c>
      <c r="AH112" s="326">
        <v>0</v>
      </c>
      <c r="AI112" s="326">
        <v>0</v>
      </c>
      <c r="AJ112" s="326">
        <v>0</v>
      </c>
      <c r="AK112" s="626">
        <f>SUM(AE112:AJ112)</f>
        <v>3.2600000000000002</v>
      </c>
      <c r="AL112" s="696">
        <f>I112+AD112</f>
        <v>1777427</v>
      </c>
      <c r="AM112" s="492">
        <f>J112+U112</f>
        <v>1318566</v>
      </c>
      <c r="AN112" s="492">
        <f>Y112</f>
        <v>0</v>
      </c>
      <c r="AO112" s="492">
        <f t="shared" si="258"/>
        <v>445675</v>
      </c>
      <c r="AP112" s="492">
        <f t="shared" si="258"/>
        <v>13186</v>
      </c>
      <c r="AQ112" s="492">
        <f t="shared" si="258"/>
        <v>0</v>
      </c>
      <c r="AR112" s="626">
        <f>N112+AK112</f>
        <v>3.2600000000000002</v>
      </c>
    </row>
    <row r="113" spans="1:44" ht="12.95" customHeight="1" x14ac:dyDescent="0.25">
      <c r="A113" s="205">
        <v>26</v>
      </c>
      <c r="B113" s="246">
        <v>5452</v>
      </c>
      <c r="C113" s="247">
        <v>600099245</v>
      </c>
      <c r="D113" s="206">
        <v>70188416</v>
      </c>
      <c r="E113" s="248" t="s">
        <v>387</v>
      </c>
      <c r="F113" s="206">
        <v>3143</v>
      </c>
      <c r="G113" s="248" t="s">
        <v>794</v>
      </c>
      <c r="H113" s="209" t="s">
        <v>262</v>
      </c>
      <c r="I113" s="586">
        <f t="shared" si="249"/>
        <v>620969</v>
      </c>
      <c r="J113" s="490">
        <v>460659</v>
      </c>
      <c r="K113" s="431">
        <f t="shared" si="250"/>
        <v>155703</v>
      </c>
      <c r="L113" s="431">
        <f t="shared" si="251"/>
        <v>4607</v>
      </c>
      <c r="M113" s="325">
        <v>0</v>
      </c>
      <c r="N113" s="752">
        <v>0.89639999999999997</v>
      </c>
      <c r="O113" s="327">
        <f t="shared" si="252"/>
        <v>-4200</v>
      </c>
      <c r="P113" s="492">
        <v>0</v>
      </c>
      <c r="Q113" s="325">
        <v>0</v>
      </c>
      <c r="R113" s="325">
        <v>0</v>
      </c>
      <c r="S113" s="325">
        <v>0</v>
      </c>
      <c r="T113" s="325">
        <v>0</v>
      </c>
      <c r="U113" s="492">
        <f>O113+P113+Q113+R113+S113+T113</f>
        <v>-4200</v>
      </c>
      <c r="V113" s="325">
        <v>4200</v>
      </c>
      <c r="W113" s="325">
        <v>0</v>
      </c>
      <c r="X113" s="325">
        <v>0</v>
      </c>
      <c r="Y113" s="492">
        <f t="shared" si="253"/>
        <v>4200</v>
      </c>
      <c r="Z113" s="492">
        <f t="shared" si="254"/>
        <v>0</v>
      </c>
      <c r="AA113" s="494">
        <f t="shared" si="255"/>
        <v>0</v>
      </c>
      <c r="AB113" s="494">
        <f t="shared" si="256"/>
        <v>-42</v>
      </c>
      <c r="AC113" s="492">
        <v>0</v>
      </c>
      <c r="AD113" s="789">
        <f t="shared" si="257"/>
        <v>-42</v>
      </c>
      <c r="AE113" s="715">
        <v>0</v>
      </c>
      <c r="AF113" s="491">
        <v>0</v>
      </c>
      <c r="AG113" s="326">
        <v>0</v>
      </c>
      <c r="AH113" s="326">
        <v>0</v>
      </c>
      <c r="AI113" s="326">
        <v>0</v>
      </c>
      <c r="AJ113" s="326">
        <v>0</v>
      </c>
      <c r="AK113" s="626">
        <f>SUM(AE113:AJ113)</f>
        <v>0</v>
      </c>
      <c r="AL113" s="696">
        <f>I113+AD113</f>
        <v>620927</v>
      </c>
      <c r="AM113" s="492">
        <f>J113+U113</f>
        <v>456459</v>
      </c>
      <c r="AN113" s="492">
        <f>Y113</f>
        <v>4200</v>
      </c>
      <c r="AO113" s="492">
        <f t="shared" si="258"/>
        <v>155703</v>
      </c>
      <c r="AP113" s="492">
        <f t="shared" si="258"/>
        <v>4565</v>
      </c>
      <c r="AQ113" s="492">
        <f t="shared" si="258"/>
        <v>0</v>
      </c>
      <c r="AR113" s="626">
        <f>N113+AK113</f>
        <v>0.89639999999999997</v>
      </c>
    </row>
    <row r="114" spans="1:44" ht="12.95" customHeight="1" x14ac:dyDescent="0.25">
      <c r="A114" s="249">
        <v>26</v>
      </c>
      <c r="B114" s="250">
        <v>5452</v>
      </c>
      <c r="C114" s="251">
        <v>600099245</v>
      </c>
      <c r="D114" s="250">
        <v>70188416</v>
      </c>
      <c r="E114" s="252" t="s">
        <v>388</v>
      </c>
      <c r="F114" s="216"/>
      <c r="G114" s="254"/>
      <c r="H114" s="217"/>
      <c r="I114" s="686">
        <f t="shared" ref="I114:AR114" si="259">SUM(I110:I113)</f>
        <v>5578494</v>
      </c>
      <c r="J114" s="355">
        <f t="shared" si="259"/>
        <v>4138349</v>
      </c>
      <c r="K114" s="355">
        <f t="shared" si="259"/>
        <v>1398762</v>
      </c>
      <c r="L114" s="355">
        <f t="shared" si="259"/>
        <v>41383</v>
      </c>
      <c r="M114" s="355">
        <f t="shared" ref="M114" si="260">SUM(M110:M113)</f>
        <v>0</v>
      </c>
      <c r="N114" s="816">
        <f t="shared" si="259"/>
        <v>6.5407999999999999</v>
      </c>
      <c r="O114" s="686">
        <f t="shared" si="259"/>
        <v>-18000</v>
      </c>
      <c r="P114" s="355">
        <f t="shared" si="259"/>
        <v>1318566</v>
      </c>
      <c r="Q114" s="355">
        <f t="shared" si="259"/>
        <v>0</v>
      </c>
      <c r="R114" s="355">
        <f t="shared" si="259"/>
        <v>0</v>
      </c>
      <c r="S114" s="355">
        <f t="shared" si="259"/>
        <v>0</v>
      </c>
      <c r="T114" s="355">
        <f t="shared" si="259"/>
        <v>0</v>
      </c>
      <c r="U114" s="355">
        <f t="shared" si="259"/>
        <v>1300566</v>
      </c>
      <c r="V114" s="355">
        <f t="shared" si="259"/>
        <v>18000</v>
      </c>
      <c r="W114" s="355">
        <f t="shared" si="259"/>
        <v>0</v>
      </c>
      <c r="X114" s="355">
        <f t="shared" si="259"/>
        <v>0</v>
      </c>
      <c r="Y114" s="355">
        <f t="shared" si="259"/>
        <v>18000</v>
      </c>
      <c r="Z114" s="355">
        <f t="shared" si="259"/>
        <v>1318566</v>
      </c>
      <c r="AA114" s="355">
        <f t="shared" si="259"/>
        <v>445675</v>
      </c>
      <c r="AB114" s="355">
        <f t="shared" si="259"/>
        <v>13006</v>
      </c>
      <c r="AC114" s="355">
        <f t="shared" si="259"/>
        <v>0</v>
      </c>
      <c r="AD114" s="683">
        <f t="shared" si="259"/>
        <v>1777247</v>
      </c>
      <c r="AE114" s="829">
        <v>-0.01</v>
      </c>
      <c r="AF114" s="356">
        <f t="shared" si="259"/>
        <v>3.2600000000000002</v>
      </c>
      <c r="AG114" s="356">
        <f t="shared" si="259"/>
        <v>0</v>
      </c>
      <c r="AH114" s="356">
        <f t="shared" si="259"/>
        <v>0</v>
      </c>
      <c r="AI114" s="356">
        <f t="shared" si="259"/>
        <v>0</v>
      </c>
      <c r="AJ114" s="356">
        <f t="shared" si="259"/>
        <v>0</v>
      </c>
      <c r="AK114" s="253">
        <f t="shared" si="259"/>
        <v>3.2500000000000004</v>
      </c>
      <c r="AL114" s="686">
        <f t="shared" si="259"/>
        <v>7355741</v>
      </c>
      <c r="AM114" s="355">
        <f t="shared" si="259"/>
        <v>5438915</v>
      </c>
      <c r="AN114" s="355">
        <f t="shared" si="259"/>
        <v>18000</v>
      </c>
      <c r="AO114" s="355">
        <f t="shared" si="259"/>
        <v>1844437</v>
      </c>
      <c r="AP114" s="355">
        <f t="shared" si="259"/>
        <v>54389</v>
      </c>
      <c r="AQ114" s="355">
        <f t="shared" si="259"/>
        <v>0</v>
      </c>
      <c r="AR114" s="253">
        <f t="shared" si="259"/>
        <v>9.7908000000000008</v>
      </c>
    </row>
    <row r="115" spans="1:44" ht="12.95" customHeight="1" x14ac:dyDescent="0.25">
      <c r="A115" s="205">
        <v>27</v>
      </c>
      <c r="B115" s="246">
        <v>5428</v>
      </c>
      <c r="C115" s="247">
        <v>600099059</v>
      </c>
      <c r="D115" s="206">
        <v>70985740</v>
      </c>
      <c r="E115" s="248" t="s">
        <v>389</v>
      </c>
      <c r="F115" s="206">
        <v>3111</v>
      </c>
      <c r="G115" s="248" t="s">
        <v>290</v>
      </c>
      <c r="H115" s="209" t="s">
        <v>262</v>
      </c>
      <c r="I115" s="627">
        <f t="shared" ref="I115:I118" si="261">SUM(J115:M115)</f>
        <v>1556365</v>
      </c>
      <c r="J115" s="559">
        <v>1154573</v>
      </c>
      <c r="K115" s="431">
        <f t="shared" ref="K115:K118" si="262">ROUND(J115*33.8%,0)</f>
        <v>390246</v>
      </c>
      <c r="L115" s="431">
        <f t="shared" ref="L115:L118" si="263">ROUND(J115*1%,0)</f>
        <v>11546</v>
      </c>
      <c r="M115" s="325">
        <v>0</v>
      </c>
      <c r="N115" s="751">
        <v>1.9355</v>
      </c>
      <c r="O115" s="327">
        <f t="shared" ref="O115:O118" si="264">V115*-1</f>
        <v>-6000</v>
      </c>
      <c r="P115" s="492">
        <v>0</v>
      </c>
      <c r="Q115" s="325">
        <v>0</v>
      </c>
      <c r="R115" s="325">
        <v>0</v>
      </c>
      <c r="S115" s="325">
        <v>0</v>
      </c>
      <c r="T115" s="325">
        <v>0</v>
      </c>
      <c r="U115" s="492">
        <f>O115+P115+Q115+R115+S115+T115</f>
        <v>-6000</v>
      </c>
      <c r="V115" s="325">
        <v>6000</v>
      </c>
      <c r="W115" s="325">
        <v>0</v>
      </c>
      <c r="X115" s="325">
        <v>0</v>
      </c>
      <c r="Y115" s="492">
        <f t="shared" ref="Y115:Y118" si="265">V115+W115+X115</f>
        <v>6000</v>
      </c>
      <c r="Z115" s="492">
        <f t="shared" ref="Z115:Z118" si="266">U115+Y115</f>
        <v>0</v>
      </c>
      <c r="AA115" s="494">
        <f t="shared" ref="AA115:AA118" si="267">ROUND((U115+Y115)*33.8%,0)</f>
        <v>0</v>
      </c>
      <c r="AB115" s="494">
        <f t="shared" ref="AB115:AB118" si="268">ROUND(U115*1%,0)</f>
        <v>-60</v>
      </c>
      <c r="AC115" s="492">
        <v>0</v>
      </c>
      <c r="AD115" s="789">
        <f t="shared" ref="AD115:AD118" si="269">Z115+AA115+AB115+AC115</f>
        <v>-60</v>
      </c>
      <c r="AE115" s="715">
        <v>0</v>
      </c>
      <c r="AF115" s="491">
        <v>0</v>
      </c>
      <c r="AG115" s="326">
        <v>0</v>
      </c>
      <c r="AH115" s="326">
        <v>0</v>
      </c>
      <c r="AI115" s="326">
        <v>0</v>
      </c>
      <c r="AJ115" s="326">
        <v>0</v>
      </c>
      <c r="AK115" s="626">
        <f>SUM(AE115:AJ115)</f>
        <v>0</v>
      </c>
      <c r="AL115" s="696">
        <f>I115+AD115</f>
        <v>1556305</v>
      </c>
      <c r="AM115" s="492">
        <f>J115+U115</f>
        <v>1148573</v>
      </c>
      <c r="AN115" s="492">
        <f>Y115</f>
        <v>6000</v>
      </c>
      <c r="AO115" s="492">
        <f t="shared" ref="AO115:AQ118" si="270">K115+AA115</f>
        <v>390246</v>
      </c>
      <c r="AP115" s="492">
        <f t="shared" si="270"/>
        <v>11486</v>
      </c>
      <c r="AQ115" s="492">
        <f t="shared" si="270"/>
        <v>0</v>
      </c>
      <c r="AR115" s="626">
        <f>N115+AK115</f>
        <v>1.9355</v>
      </c>
    </row>
    <row r="116" spans="1:44" ht="12.95" customHeight="1" x14ac:dyDescent="0.25">
      <c r="A116" s="205">
        <v>27</v>
      </c>
      <c r="B116" s="246">
        <v>5428</v>
      </c>
      <c r="C116" s="247">
        <v>600099059</v>
      </c>
      <c r="D116" s="206">
        <v>70985740</v>
      </c>
      <c r="E116" s="248" t="s">
        <v>389</v>
      </c>
      <c r="F116" s="206">
        <v>3117</v>
      </c>
      <c r="G116" s="248" t="s">
        <v>280</v>
      </c>
      <c r="H116" s="209" t="s">
        <v>262</v>
      </c>
      <c r="I116" s="586">
        <f t="shared" si="261"/>
        <v>2055815</v>
      </c>
      <c r="J116" s="490">
        <v>1525086</v>
      </c>
      <c r="K116" s="431">
        <f>ROUND(J116*33.8%,0)-1</f>
        <v>515478</v>
      </c>
      <c r="L116" s="431">
        <f t="shared" si="263"/>
        <v>15251</v>
      </c>
      <c r="M116" s="325">
        <v>0</v>
      </c>
      <c r="N116" s="752">
        <v>2.3180000000000001</v>
      </c>
      <c r="O116" s="327">
        <f t="shared" si="264"/>
        <v>-6000</v>
      </c>
      <c r="P116" s="492">
        <v>0</v>
      </c>
      <c r="Q116" s="325">
        <v>0</v>
      </c>
      <c r="R116" s="325">
        <v>0</v>
      </c>
      <c r="S116" s="325">
        <v>0</v>
      </c>
      <c r="T116" s="325">
        <v>0</v>
      </c>
      <c r="U116" s="492">
        <f>O116+P116+Q116+R116+S116+T116</f>
        <v>-6000</v>
      </c>
      <c r="V116" s="325">
        <v>6000</v>
      </c>
      <c r="W116" s="325">
        <v>0</v>
      </c>
      <c r="X116" s="325">
        <v>0</v>
      </c>
      <c r="Y116" s="492">
        <f t="shared" si="265"/>
        <v>6000</v>
      </c>
      <c r="Z116" s="492">
        <f t="shared" si="266"/>
        <v>0</v>
      </c>
      <c r="AA116" s="494">
        <f t="shared" si="267"/>
        <v>0</v>
      </c>
      <c r="AB116" s="494">
        <f t="shared" si="268"/>
        <v>-60</v>
      </c>
      <c r="AC116" s="492">
        <v>0</v>
      </c>
      <c r="AD116" s="789">
        <f t="shared" si="269"/>
        <v>-60</v>
      </c>
      <c r="AE116" s="715">
        <v>0</v>
      </c>
      <c r="AF116" s="491">
        <v>0</v>
      </c>
      <c r="AG116" s="326">
        <v>0</v>
      </c>
      <c r="AH116" s="326">
        <v>0</v>
      </c>
      <c r="AI116" s="326">
        <v>0</v>
      </c>
      <c r="AJ116" s="326">
        <v>0</v>
      </c>
      <c r="AK116" s="626">
        <f>SUM(AE116:AJ116)</f>
        <v>0</v>
      </c>
      <c r="AL116" s="696">
        <f>I116+AD116</f>
        <v>2055755</v>
      </c>
      <c r="AM116" s="492">
        <f>J116+U116</f>
        <v>1519086</v>
      </c>
      <c r="AN116" s="492">
        <f>Y116</f>
        <v>6000</v>
      </c>
      <c r="AO116" s="492">
        <f t="shared" si="270"/>
        <v>515478</v>
      </c>
      <c r="AP116" s="492">
        <f t="shared" si="270"/>
        <v>15191</v>
      </c>
      <c r="AQ116" s="492">
        <f t="shared" si="270"/>
        <v>0</v>
      </c>
      <c r="AR116" s="626">
        <f>N116+AK116</f>
        <v>2.3180000000000001</v>
      </c>
    </row>
    <row r="117" spans="1:44" ht="12.95" customHeight="1" x14ac:dyDescent="0.25">
      <c r="A117" s="205">
        <v>27</v>
      </c>
      <c r="B117" s="246">
        <v>5428</v>
      </c>
      <c r="C117" s="247">
        <v>600099059</v>
      </c>
      <c r="D117" s="206">
        <v>70985740</v>
      </c>
      <c r="E117" s="248" t="s">
        <v>389</v>
      </c>
      <c r="F117" s="206">
        <v>3117</v>
      </c>
      <c r="G117" s="248" t="s">
        <v>284</v>
      </c>
      <c r="H117" s="209" t="s">
        <v>263</v>
      </c>
      <c r="I117" s="586">
        <f t="shared" si="261"/>
        <v>0</v>
      </c>
      <c r="J117" s="490"/>
      <c r="K117" s="431">
        <f t="shared" si="262"/>
        <v>0</v>
      </c>
      <c r="L117" s="431">
        <f t="shared" si="263"/>
        <v>0</v>
      </c>
      <c r="M117" s="325">
        <v>0</v>
      </c>
      <c r="N117" s="752"/>
      <c r="O117" s="327">
        <f t="shared" si="264"/>
        <v>0</v>
      </c>
      <c r="P117" s="492">
        <v>451970</v>
      </c>
      <c r="Q117" s="325">
        <v>0</v>
      </c>
      <c r="R117" s="325">
        <v>0</v>
      </c>
      <c r="S117" s="325">
        <v>0</v>
      </c>
      <c r="T117" s="325">
        <v>0</v>
      </c>
      <c r="U117" s="492">
        <f>O117+P117+Q117+R117+S117+T117</f>
        <v>451970</v>
      </c>
      <c r="V117" s="325">
        <v>0</v>
      </c>
      <c r="W117" s="325">
        <v>0</v>
      </c>
      <c r="X117" s="325">
        <v>0</v>
      </c>
      <c r="Y117" s="492">
        <f t="shared" si="265"/>
        <v>0</v>
      </c>
      <c r="Z117" s="492">
        <f t="shared" si="266"/>
        <v>451970</v>
      </c>
      <c r="AA117" s="494">
        <f t="shared" si="267"/>
        <v>152766</v>
      </c>
      <c r="AB117" s="494">
        <f t="shared" si="268"/>
        <v>4520</v>
      </c>
      <c r="AC117" s="492">
        <v>0</v>
      </c>
      <c r="AD117" s="789">
        <f t="shared" si="269"/>
        <v>609256</v>
      </c>
      <c r="AE117" s="715">
        <v>0</v>
      </c>
      <c r="AF117" s="491">
        <v>1.1400000000000001</v>
      </c>
      <c r="AG117" s="326">
        <v>0</v>
      </c>
      <c r="AH117" s="326">
        <v>0</v>
      </c>
      <c r="AI117" s="326">
        <v>0</v>
      </c>
      <c r="AJ117" s="326">
        <v>0</v>
      </c>
      <c r="AK117" s="626">
        <f>SUM(AE117:AJ117)</f>
        <v>1.1400000000000001</v>
      </c>
      <c r="AL117" s="696">
        <f>I117+AD117</f>
        <v>609256</v>
      </c>
      <c r="AM117" s="492">
        <f>J117+U117</f>
        <v>451970</v>
      </c>
      <c r="AN117" s="492">
        <f>Y117</f>
        <v>0</v>
      </c>
      <c r="AO117" s="492">
        <f t="shared" si="270"/>
        <v>152766</v>
      </c>
      <c r="AP117" s="492">
        <f t="shared" si="270"/>
        <v>4520</v>
      </c>
      <c r="AQ117" s="492">
        <f t="shared" si="270"/>
        <v>0</v>
      </c>
      <c r="AR117" s="626">
        <f>N117+AK117</f>
        <v>1.1400000000000001</v>
      </c>
    </row>
    <row r="118" spans="1:44" ht="12.95" customHeight="1" x14ac:dyDescent="0.25">
      <c r="A118" s="205">
        <v>27</v>
      </c>
      <c r="B118" s="246">
        <v>5428</v>
      </c>
      <c r="C118" s="247">
        <v>600099059</v>
      </c>
      <c r="D118" s="206">
        <v>70985740</v>
      </c>
      <c r="E118" s="248" t="s">
        <v>389</v>
      </c>
      <c r="F118" s="206">
        <v>3143</v>
      </c>
      <c r="G118" s="248" t="s">
        <v>794</v>
      </c>
      <c r="H118" s="209" t="s">
        <v>262</v>
      </c>
      <c r="I118" s="586">
        <f t="shared" si="261"/>
        <v>624693</v>
      </c>
      <c r="J118" s="490">
        <v>463422</v>
      </c>
      <c r="K118" s="431">
        <f t="shared" si="262"/>
        <v>156637</v>
      </c>
      <c r="L118" s="431">
        <f t="shared" si="263"/>
        <v>4634</v>
      </c>
      <c r="M118" s="325">
        <v>0</v>
      </c>
      <c r="N118" s="752">
        <v>0.86660000000000004</v>
      </c>
      <c r="O118" s="327">
        <f t="shared" si="264"/>
        <v>-6000</v>
      </c>
      <c r="P118" s="492">
        <v>0</v>
      </c>
      <c r="Q118" s="325">
        <v>0</v>
      </c>
      <c r="R118" s="325">
        <v>0</v>
      </c>
      <c r="S118" s="325">
        <v>0</v>
      </c>
      <c r="T118" s="325">
        <v>0</v>
      </c>
      <c r="U118" s="492">
        <f>O118+P118+Q118+R118+S118+T118</f>
        <v>-6000</v>
      </c>
      <c r="V118" s="325">
        <v>6000</v>
      </c>
      <c r="W118" s="325">
        <v>0</v>
      </c>
      <c r="X118" s="325">
        <v>0</v>
      </c>
      <c r="Y118" s="492">
        <f t="shared" si="265"/>
        <v>6000</v>
      </c>
      <c r="Z118" s="492">
        <f t="shared" si="266"/>
        <v>0</v>
      </c>
      <c r="AA118" s="494">
        <f t="shared" si="267"/>
        <v>0</v>
      </c>
      <c r="AB118" s="494">
        <f t="shared" si="268"/>
        <v>-60</v>
      </c>
      <c r="AC118" s="492">
        <v>0</v>
      </c>
      <c r="AD118" s="789">
        <f t="shared" si="269"/>
        <v>-60</v>
      </c>
      <c r="AE118" s="715">
        <v>0</v>
      </c>
      <c r="AF118" s="491">
        <v>0</v>
      </c>
      <c r="AG118" s="326">
        <v>0</v>
      </c>
      <c r="AH118" s="326">
        <v>0</v>
      </c>
      <c r="AI118" s="326">
        <v>0</v>
      </c>
      <c r="AJ118" s="326">
        <v>0</v>
      </c>
      <c r="AK118" s="626">
        <f>SUM(AE118:AJ118)</f>
        <v>0</v>
      </c>
      <c r="AL118" s="696">
        <f>I118+AD118</f>
        <v>624633</v>
      </c>
      <c r="AM118" s="492">
        <f>J118+U118</f>
        <v>457422</v>
      </c>
      <c r="AN118" s="492">
        <f>Y118</f>
        <v>6000</v>
      </c>
      <c r="AO118" s="492">
        <f t="shared" si="270"/>
        <v>156637</v>
      </c>
      <c r="AP118" s="492">
        <f t="shared" si="270"/>
        <v>4574</v>
      </c>
      <c r="AQ118" s="492">
        <f t="shared" si="270"/>
        <v>0</v>
      </c>
      <c r="AR118" s="626">
        <f>N118+AK118</f>
        <v>0.86660000000000004</v>
      </c>
    </row>
    <row r="119" spans="1:44" ht="12.95" customHeight="1" x14ac:dyDescent="0.25">
      <c r="A119" s="249">
        <v>27</v>
      </c>
      <c r="B119" s="250">
        <v>5428</v>
      </c>
      <c r="C119" s="251">
        <v>600099059</v>
      </c>
      <c r="D119" s="250">
        <v>70985740</v>
      </c>
      <c r="E119" s="252" t="s">
        <v>390</v>
      </c>
      <c r="F119" s="216"/>
      <c r="G119" s="254"/>
      <c r="H119" s="217"/>
      <c r="I119" s="686">
        <f t="shared" ref="I119:AR119" si="271">SUM(I115:I118)</f>
        <v>4236873</v>
      </c>
      <c r="J119" s="355">
        <f t="shared" si="271"/>
        <v>3143081</v>
      </c>
      <c r="K119" s="355">
        <f t="shared" si="271"/>
        <v>1062361</v>
      </c>
      <c r="L119" s="355">
        <f t="shared" si="271"/>
        <v>31431</v>
      </c>
      <c r="M119" s="355">
        <f t="shared" ref="M119" si="272">SUM(M115:M118)</f>
        <v>0</v>
      </c>
      <c r="N119" s="816">
        <f t="shared" si="271"/>
        <v>5.1200999999999999</v>
      </c>
      <c r="O119" s="686">
        <f t="shared" si="271"/>
        <v>-18000</v>
      </c>
      <c r="P119" s="355">
        <f t="shared" si="271"/>
        <v>451970</v>
      </c>
      <c r="Q119" s="355">
        <f t="shared" si="271"/>
        <v>0</v>
      </c>
      <c r="R119" s="355">
        <f t="shared" si="271"/>
        <v>0</v>
      </c>
      <c r="S119" s="355">
        <f t="shared" si="271"/>
        <v>0</v>
      </c>
      <c r="T119" s="355">
        <f t="shared" si="271"/>
        <v>0</v>
      </c>
      <c r="U119" s="355">
        <f t="shared" si="271"/>
        <v>433970</v>
      </c>
      <c r="V119" s="355">
        <f t="shared" si="271"/>
        <v>18000</v>
      </c>
      <c r="W119" s="355">
        <f t="shared" si="271"/>
        <v>0</v>
      </c>
      <c r="X119" s="355">
        <f t="shared" si="271"/>
        <v>0</v>
      </c>
      <c r="Y119" s="355">
        <f t="shared" si="271"/>
        <v>18000</v>
      </c>
      <c r="Z119" s="355">
        <f t="shared" si="271"/>
        <v>451970</v>
      </c>
      <c r="AA119" s="355">
        <f t="shared" si="271"/>
        <v>152766</v>
      </c>
      <c r="AB119" s="355">
        <f t="shared" si="271"/>
        <v>4340</v>
      </c>
      <c r="AC119" s="355">
        <f t="shared" si="271"/>
        <v>0</v>
      </c>
      <c r="AD119" s="683">
        <f t="shared" si="271"/>
        <v>609076</v>
      </c>
      <c r="AE119" s="829">
        <v>0</v>
      </c>
      <c r="AF119" s="356">
        <f t="shared" si="271"/>
        <v>1.1400000000000001</v>
      </c>
      <c r="AG119" s="356">
        <f t="shared" si="271"/>
        <v>0</v>
      </c>
      <c r="AH119" s="356">
        <f t="shared" si="271"/>
        <v>0</v>
      </c>
      <c r="AI119" s="356">
        <f t="shared" si="271"/>
        <v>0</v>
      </c>
      <c r="AJ119" s="356">
        <f t="shared" si="271"/>
        <v>0</v>
      </c>
      <c r="AK119" s="253">
        <f t="shared" si="271"/>
        <v>1.1400000000000001</v>
      </c>
      <c r="AL119" s="686">
        <f t="shared" si="271"/>
        <v>4845949</v>
      </c>
      <c r="AM119" s="355">
        <f t="shared" si="271"/>
        <v>3577051</v>
      </c>
      <c r="AN119" s="355">
        <f t="shared" si="271"/>
        <v>18000</v>
      </c>
      <c r="AO119" s="355">
        <f t="shared" si="271"/>
        <v>1215127</v>
      </c>
      <c r="AP119" s="355">
        <f t="shared" si="271"/>
        <v>35771</v>
      </c>
      <c r="AQ119" s="355">
        <f t="shared" si="271"/>
        <v>0</v>
      </c>
      <c r="AR119" s="253">
        <f t="shared" si="271"/>
        <v>6.2600999999999996</v>
      </c>
    </row>
    <row r="120" spans="1:44" ht="12.95" customHeight="1" x14ac:dyDescent="0.25">
      <c r="A120" s="205">
        <v>28</v>
      </c>
      <c r="B120" s="246">
        <v>5472</v>
      </c>
      <c r="C120" s="247">
        <v>600098672</v>
      </c>
      <c r="D120" s="206">
        <v>72743565</v>
      </c>
      <c r="E120" s="248" t="s">
        <v>391</v>
      </c>
      <c r="F120" s="206">
        <v>3111</v>
      </c>
      <c r="G120" s="248" t="s">
        <v>290</v>
      </c>
      <c r="H120" s="209" t="s">
        <v>262</v>
      </c>
      <c r="I120" s="627">
        <f t="shared" ref="I120:I121" si="273">SUM(J120:M120)</f>
        <v>3382483</v>
      </c>
      <c r="J120" s="559">
        <v>2509260</v>
      </c>
      <c r="K120" s="431">
        <f t="shared" ref="K120:K121" si="274">ROUND(J120*33.8%,0)</f>
        <v>848130</v>
      </c>
      <c r="L120" s="431">
        <f t="shared" ref="L120:L121" si="275">ROUND(J120*1%,0)</f>
        <v>25093</v>
      </c>
      <c r="M120" s="325">
        <v>0</v>
      </c>
      <c r="N120" s="751">
        <v>4</v>
      </c>
      <c r="O120" s="327">
        <f>V120*-1</f>
        <v>0</v>
      </c>
      <c r="P120" s="492">
        <v>0</v>
      </c>
      <c r="Q120" s="325">
        <v>0</v>
      </c>
      <c r="R120" s="325">
        <v>0</v>
      </c>
      <c r="S120" s="325">
        <v>0</v>
      </c>
      <c r="T120" s="325">
        <v>0</v>
      </c>
      <c r="U120" s="492">
        <f>O120+P120+Q120+R120+S120+T120</f>
        <v>0</v>
      </c>
      <c r="V120" s="325">
        <v>0</v>
      </c>
      <c r="W120" s="325">
        <v>0</v>
      </c>
      <c r="X120" s="325">
        <v>0</v>
      </c>
      <c r="Y120" s="492">
        <f t="shared" ref="Y120:Y121" si="276">V120+W120+X120</f>
        <v>0</v>
      </c>
      <c r="Z120" s="492">
        <f t="shared" ref="Z120:Z121" si="277">U120+Y120</f>
        <v>0</v>
      </c>
      <c r="AA120" s="494">
        <f t="shared" ref="AA120:AA121" si="278">ROUND((U120+Y120)*33.8%,0)</f>
        <v>0</v>
      </c>
      <c r="AB120" s="494">
        <f t="shared" ref="AB120:AB121" si="279">ROUND(U120*1%,0)</f>
        <v>0</v>
      </c>
      <c r="AC120" s="492">
        <v>0</v>
      </c>
      <c r="AD120" s="789">
        <f t="shared" ref="AD120:AD121" si="280">Z120+AA120+AB120+AC120</f>
        <v>0</v>
      </c>
      <c r="AE120" s="715">
        <v>0</v>
      </c>
      <c r="AF120" s="491">
        <v>0</v>
      </c>
      <c r="AG120" s="326">
        <v>0</v>
      </c>
      <c r="AH120" s="326">
        <v>0</v>
      </c>
      <c r="AI120" s="326">
        <v>0</v>
      </c>
      <c r="AJ120" s="326">
        <v>0</v>
      </c>
      <c r="AK120" s="626">
        <f>SUM(AE120:AJ120)</f>
        <v>0</v>
      </c>
      <c r="AL120" s="696">
        <f>I120+AD120</f>
        <v>3382483</v>
      </c>
      <c r="AM120" s="492">
        <f>J120+U120</f>
        <v>2509260</v>
      </c>
      <c r="AN120" s="492">
        <f>Y120</f>
        <v>0</v>
      </c>
      <c r="AO120" s="492">
        <f t="shared" ref="AO120:AQ121" si="281">K120+AA120</f>
        <v>848130</v>
      </c>
      <c r="AP120" s="492">
        <f t="shared" si="281"/>
        <v>25093</v>
      </c>
      <c r="AQ120" s="492">
        <f t="shared" si="281"/>
        <v>0</v>
      </c>
      <c r="AR120" s="626">
        <f>N120+AK120</f>
        <v>4</v>
      </c>
    </row>
    <row r="121" spans="1:44" ht="12.95" customHeight="1" x14ac:dyDescent="0.25">
      <c r="A121" s="205">
        <v>28</v>
      </c>
      <c r="B121" s="246">
        <v>5472</v>
      </c>
      <c r="C121" s="247">
        <v>600098672</v>
      </c>
      <c r="D121" s="206">
        <v>72743565</v>
      </c>
      <c r="E121" s="248" t="s">
        <v>391</v>
      </c>
      <c r="F121" s="206">
        <v>3111</v>
      </c>
      <c r="G121" s="248" t="s">
        <v>284</v>
      </c>
      <c r="H121" s="209" t="s">
        <v>263</v>
      </c>
      <c r="I121" s="586">
        <f t="shared" si="273"/>
        <v>0</v>
      </c>
      <c r="J121" s="490"/>
      <c r="K121" s="431">
        <f t="shared" si="274"/>
        <v>0</v>
      </c>
      <c r="L121" s="431">
        <f t="shared" si="275"/>
        <v>0</v>
      </c>
      <c r="M121" s="325">
        <v>0</v>
      </c>
      <c r="N121" s="752"/>
      <c r="O121" s="327">
        <f>V121*-1</f>
        <v>0</v>
      </c>
      <c r="P121" s="492">
        <v>0</v>
      </c>
      <c r="Q121" s="325">
        <v>0</v>
      </c>
      <c r="R121" s="325">
        <v>0</v>
      </c>
      <c r="S121" s="325">
        <v>0</v>
      </c>
      <c r="T121" s="325">
        <v>0</v>
      </c>
      <c r="U121" s="492">
        <f>O121+P121+Q121+R121+S121+T121</f>
        <v>0</v>
      </c>
      <c r="V121" s="325">
        <v>0</v>
      </c>
      <c r="W121" s="325">
        <v>0</v>
      </c>
      <c r="X121" s="325">
        <v>0</v>
      </c>
      <c r="Y121" s="492">
        <f t="shared" si="276"/>
        <v>0</v>
      </c>
      <c r="Z121" s="492">
        <f t="shared" si="277"/>
        <v>0</v>
      </c>
      <c r="AA121" s="494">
        <f t="shared" si="278"/>
        <v>0</v>
      </c>
      <c r="AB121" s="494">
        <f t="shared" si="279"/>
        <v>0</v>
      </c>
      <c r="AC121" s="492">
        <v>0</v>
      </c>
      <c r="AD121" s="789">
        <f t="shared" si="280"/>
        <v>0</v>
      </c>
      <c r="AE121" s="715">
        <v>0</v>
      </c>
      <c r="AF121" s="491">
        <v>0</v>
      </c>
      <c r="AG121" s="326">
        <v>0</v>
      </c>
      <c r="AH121" s="326">
        <v>0</v>
      </c>
      <c r="AI121" s="326">
        <v>0</v>
      </c>
      <c r="AJ121" s="326">
        <v>0</v>
      </c>
      <c r="AK121" s="626">
        <f>SUM(AE121:AJ121)</f>
        <v>0</v>
      </c>
      <c r="AL121" s="696">
        <f>I121+AD121</f>
        <v>0</v>
      </c>
      <c r="AM121" s="492">
        <f>J121+U121</f>
        <v>0</v>
      </c>
      <c r="AN121" s="492">
        <f>Y121</f>
        <v>0</v>
      </c>
      <c r="AO121" s="492">
        <f t="shared" si="281"/>
        <v>0</v>
      </c>
      <c r="AP121" s="492">
        <f t="shared" si="281"/>
        <v>0</v>
      </c>
      <c r="AQ121" s="492">
        <f t="shared" si="281"/>
        <v>0</v>
      </c>
      <c r="AR121" s="626">
        <f>N121+AK121</f>
        <v>0</v>
      </c>
    </row>
    <row r="122" spans="1:44" ht="12.95" customHeight="1" x14ac:dyDescent="0.25">
      <c r="A122" s="249">
        <v>28</v>
      </c>
      <c r="B122" s="250">
        <v>5472</v>
      </c>
      <c r="C122" s="251">
        <v>600098672</v>
      </c>
      <c r="D122" s="250">
        <v>72743565</v>
      </c>
      <c r="E122" s="252" t="s">
        <v>392</v>
      </c>
      <c r="F122" s="216"/>
      <c r="G122" s="254"/>
      <c r="H122" s="217"/>
      <c r="I122" s="688">
        <f t="shared" ref="I122:AR122" si="282">SUM(I120:I121)</f>
        <v>3382483</v>
      </c>
      <c r="J122" s="353">
        <f t="shared" si="282"/>
        <v>2509260</v>
      </c>
      <c r="K122" s="353">
        <f t="shared" si="282"/>
        <v>848130</v>
      </c>
      <c r="L122" s="353">
        <f t="shared" si="282"/>
        <v>25093</v>
      </c>
      <c r="M122" s="353">
        <f t="shared" ref="M122" si="283">SUM(M120:M121)</f>
        <v>0</v>
      </c>
      <c r="N122" s="817">
        <f t="shared" si="282"/>
        <v>4</v>
      </c>
      <c r="O122" s="688">
        <f t="shared" si="282"/>
        <v>0</v>
      </c>
      <c r="P122" s="353">
        <f t="shared" si="282"/>
        <v>0</v>
      </c>
      <c r="Q122" s="353">
        <f t="shared" si="282"/>
        <v>0</v>
      </c>
      <c r="R122" s="353">
        <f t="shared" si="282"/>
        <v>0</v>
      </c>
      <c r="S122" s="353">
        <f t="shared" si="282"/>
        <v>0</v>
      </c>
      <c r="T122" s="353">
        <f t="shared" si="282"/>
        <v>0</v>
      </c>
      <c r="U122" s="353">
        <f t="shared" si="282"/>
        <v>0</v>
      </c>
      <c r="V122" s="353">
        <f t="shared" si="282"/>
        <v>0</v>
      </c>
      <c r="W122" s="353">
        <f t="shared" si="282"/>
        <v>0</v>
      </c>
      <c r="X122" s="353">
        <f t="shared" si="282"/>
        <v>0</v>
      </c>
      <c r="Y122" s="353">
        <f t="shared" si="282"/>
        <v>0</v>
      </c>
      <c r="Z122" s="353">
        <f t="shared" si="282"/>
        <v>0</v>
      </c>
      <c r="AA122" s="353">
        <f t="shared" si="282"/>
        <v>0</v>
      </c>
      <c r="AB122" s="353">
        <f t="shared" si="282"/>
        <v>0</v>
      </c>
      <c r="AC122" s="353">
        <f t="shared" si="282"/>
        <v>0</v>
      </c>
      <c r="AD122" s="685">
        <f t="shared" si="282"/>
        <v>0</v>
      </c>
      <c r="AE122" s="830">
        <v>0</v>
      </c>
      <c r="AF122" s="354">
        <f t="shared" si="282"/>
        <v>0</v>
      </c>
      <c r="AG122" s="354">
        <f t="shared" si="282"/>
        <v>0</v>
      </c>
      <c r="AH122" s="354">
        <f t="shared" si="282"/>
        <v>0</v>
      </c>
      <c r="AI122" s="354">
        <f t="shared" si="282"/>
        <v>0</v>
      </c>
      <c r="AJ122" s="354">
        <f t="shared" si="282"/>
        <v>0</v>
      </c>
      <c r="AK122" s="215">
        <f t="shared" si="282"/>
        <v>0</v>
      </c>
      <c r="AL122" s="688">
        <f t="shared" si="282"/>
        <v>3382483</v>
      </c>
      <c r="AM122" s="353">
        <f t="shared" si="282"/>
        <v>2509260</v>
      </c>
      <c r="AN122" s="353">
        <f t="shared" si="282"/>
        <v>0</v>
      </c>
      <c r="AO122" s="353">
        <f t="shared" si="282"/>
        <v>848130</v>
      </c>
      <c r="AP122" s="353">
        <f t="shared" si="282"/>
        <v>25093</v>
      </c>
      <c r="AQ122" s="353">
        <f t="shared" si="282"/>
        <v>0</v>
      </c>
      <c r="AR122" s="215">
        <f t="shared" si="282"/>
        <v>4</v>
      </c>
    </row>
    <row r="123" spans="1:44" ht="12.95" customHeight="1" x14ac:dyDescent="0.25">
      <c r="A123" s="205">
        <v>29</v>
      </c>
      <c r="B123" s="246">
        <v>5471</v>
      </c>
      <c r="C123" s="247">
        <v>600099229</v>
      </c>
      <c r="D123" s="206">
        <v>72743646</v>
      </c>
      <c r="E123" s="248" t="s">
        <v>393</v>
      </c>
      <c r="F123" s="206">
        <v>3113</v>
      </c>
      <c r="G123" s="248" t="s">
        <v>294</v>
      </c>
      <c r="H123" s="209" t="s">
        <v>262</v>
      </c>
      <c r="I123" s="627">
        <f t="shared" ref="I123:I125" si="284">SUM(J123:M123)</f>
        <v>12389899</v>
      </c>
      <c r="J123" s="559">
        <v>9191320</v>
      </c>
      <c r="K123" s="431">
        <f t="shared" ref="K123:K125" si="285">ROUND(J123*33.8%,0)</f>
        <v>3106666</v>
      </c>
      <c r="L123" s="431">
        <f t="shared" ref="L123:L125" si="286">ROUND(J123*1%,0)</f>
        <v>91913</v>
      </c>
      <c r="M123" s="325">
        <v>0</v>
      </c>
      <c r="N123" s="751">
        <v>12.818</v>
      </c>
      <c r="O123" s="327">
        <f>V123*-1</f>
        <v>-10800</v>
      </c>
      <c r="P123" s="492">
        <v>0</v>
      </c>
      <c r="Q123" s="325">
        <v>0</v>
      </c>
      <c r="R123" s="325">
        <v>0</v>
      </c>
      <c r="S123" s="325">
        <v>0</v>
      </c>
      <c r="T123" s="325">
        <v>0</v>
      </c>
      <c r="U123" s="492">
        <f>O123+P123+Q123+R123+S123+T123</f>
        <v>-10800</v>
      </c>
      <c r="V123" s="325">
        <v>10800</v>
      </c>
      <c r="W123" s="325">
        <v>0</v>
      </c>
      <c r="X123" s="325">
        <v>0</v>
      </c>
      <c r="Y123" s="492">
        <f t="shared" ref="Y123:Y125" si="287">V123+W123+X123</f>
        <v>10800</v>
      </c>
      <c r="Z123" s="492">
        <f t="shared" ref="Z123:Z125" si="288">U123+Y123</f>
        <v>0</v>
      </c>
      <c r="AA123" s="494">
        <f t="shared" ref="AA123:AA125" si="289">ROUND((U123+Y123)*33.8%,0)</f>
        <v>0</v>
      </c>
      <c r="AB123" s="494">
        <f t="shared" ref="AB123:AB125" si="290">ROUND(U123*1%,0)</f>
        <v>-108</v>
      </c>
      <c r="AC123" s="492">
        <v>0</v>
      </c>
      <c r="AD123" s="789">
        <f t="shared" ref="AD123:AD125" si="291">Z123+AA123+AB123+AC123</f>
        <v>-108</v>
      </c>
      <c r="AE123" s="715">
        <v>0</v>
      </c>
      <c r="AF123" s="491">
        <v>0</v>
      </c>
      <c r="AG123" s="326">
        <v>0</v>
      </c>
      <c r="AH123" s="326">
        <v>0</v>
      </c>
      <c r="AI123" s="326">
        <v>0</v>
      </c>
      <c r="AJ123" s="326">
        <v>0</v>
      </c>
      <c r="AK123" s="626">
        <f>SUM(AE123:AJ123)</f>
        <v>0</v>
      </c>
      <c r="AL123" s="696">
        <f>I123+AD123</f>
        <v>12389791</v>
      </c>
      <c r="AM123" s="492">
        <f>J123+U123</f>
        <v>9180520</v>
      </c>
      <c r="AN123" s="492">
        <f>Y123</f>
        <v>10800</v>
      </c>
      <c r="AO123" s="492">
        <f t="shared" ref="AO123:AQ125" si="292">K123+AA123</f>
        <v>3106666</v>
      </c>
      <c r="AP123" s="492">
        <f t="shared" si="292"/>
        <v>91805</v>
      </c>
      <c r="AQ123" s="492">
        <f t="shared" si="292"/>
        <v>0</v>
      </c>
      <c r="AR123" s="626">
        <f>N123+AK123</f>
        <v>12.818</v>
      </c>
    </row>
    <row r="124" spans="1:44" ht="12.95" customHeight="1" x14ac:dyDescent="0.25">
      <c r="A124" s="205">
        <v>29</v>
      </c>
      <c r="B124" s="246">
        <v>5471</v>
      </c>
      <c r="C124" s="247">
        <v>600099229</v>
      </c>
      <c r="D124" s="206">
        <v>72743646</v>
      </c>
      <c r="E124" s="248" t="s">
        <v>393</v>
      </c>
      <c r="F124" s="206">
        <v>3113</v>
      </c>
      <c r="G124" s="248" t="s">
        <v>284</v>
      </c>
      <c r="H124" s="209" t="s">
        <v>263</v>
      </c>
      <c r="I124" s="586">
        <f t="shared" si="284"/>
        <v>0</v>
      </c>
      <c r="J124" s="490"/>
      <c r="K124" s="431">
        <f t="shared" si="285"/>
        <v>0</v>
      </c>
      <c r="L124" s="431">
        <f t="shared" si="286"/>
        <v>0</v>
      </c>
      <c r="M124" s="325">
        <v>0</v>
      </c>
      <c r="N124" s="752"/>
      <c r="O124" s="327">
        <f>V124*-1</f>
        <v>0</v>
      </c>
      <c r="P124" s="492">
        <v>659283</v>
      </c>
      <c r="Q124" s="325">
        <v>0</v>
      </c>
      <c r="R124" s="325">
        <v>0</v>
      </c>
      <c r="S124" s="325">
        <v>0</v>
      </c>
      <c r="T124" s="325">
        <v>0</v>
      </c>
      <c r="U124" s="492">
        <f>O124+P124+Q124+R124+S124+T124</f>
        <v>659283</v>
      </c>
      <c r="V124" s="325">
        <v>0</v>
      </c>
      <c r="W124" s="325">
        <v>0</v>
      </c>
      <c r="X124" s="325">
        <v>0</v>
      </c>
      <c r="Y124" s="492">
        <f t="shared" si="287"/>
        <v>0</v>
      </c>
      <c r="Z124" s="492">
        <f t="shared" si="288"/>
        <v>659283</v>
      </c>
      <c r="AA124" s="494">
        <f t="shared" si="289"/>
        <v>222838</v>
      </c>
      <c r="AB124" s="494">
        <f t="shared" si="290"/>
        <v>6593</v>
      </c>
      <c r="AC124" s="492">
        <v>0</v>
      </c>
      <c r="AD124" s="789">
        <f t="shared" si="291"/>
        <v>888714</v>
      </c>
      <c r="AE124" s="715">
        <v>0</v>
      </c>
      <c r="AF124" s="491">
        <v>1.63</v>
      </c>
      <c r="AG124" s="326">
        <v>0</v>
      </c>
      <c r="AH124" s="326">
        <v>0</v>
      </c>
      <c r="AI124" s="326">
        <v>0</v>
      </c>
      <c r="AJ124" s="326">
        <v>0</v>
      </c>
      <c r="AK124" s="626">
        <f>SUM(AE124:AJ124)</f>
        <v>1.63</v>
      </c>
      <c r="AL124" s="696">
        <f>I124+AD124</f>
        <v>888714</v>
      </c>
      <c r="AM124" s="492">
        <f>J124+U124</f>
        <v>659283</v>
      </c>
      <c r="AN124" s="492">
        <f>Y124</f>
        <v>0</v>
      </c>
      <c r="AO124" s="492">
        <f t="shared" si="292"/>
        <v>222838</v>
      </c>
      <c r="AP124" s="492">
        <f t="shared" si="292"/>
        <v>6593</v>
      </c>
      <c r="AQ124" s="492">
        <f t="shared" si="292"/>
        <v>0</v>
      </c>
      <c r="AR124" s="626">
        <f>N124+AK124</f>
        <v>1.63</v>
      </c>
    </row>
    <row r="125" spans="1:44" ht="12.95" customHeight="1" x14ac:dyDescent="0.25">
      <c r="A125" s="205">
        <v>29</v>
      </c>
      <c r="B125" s="246">
        <v>5471</v>
      </c>
      <c r="C125" s="247">
        <v>600099229</v>
      </c>
      <c r="D125" s="206">
        <v>72743646</v>
      </c>
      <c r="E125" s="248" t="s">
        <v>393</v>
      </c>
      <c r="F125" s="206">
        <v>3143</v>
      </c>
      <c r="G125" s="248" t="s">
        <v>794</v>
      </c>
      <c r="H125" s="209" t="s">
        <v>262</v>
      </c>
      <c r="I125" s="586">
        <f t="shared" si="284"/>
        <v>929877</v>
      </c>
      <c r="J125" s="490">
        <v>689820</v>
      </c>
      <c r="K125" s="431">
        <f t="shared" si="285"/>
        <v>233159</v>
      </c>
      <c r="L125" s="431">
        <f t="shared" si="286"/>
        <v>6898</v>
      </c>
      <c r="M125" s="325">
        <v>0</v>
      </c>
      <c r="N125" s="752">
        <v>1.3001</v>
      </c>
      <c r="O125" s="327">
        <f>V125*-1</f>
        <v>0</v>
      </c>
      <c r="P125" s="492">
        <v>0</v>
      </c>
      <c r="Q125" s="325">
        <v>0</v>
      </c>
      <c r="R125" s="325">
        <v>0</v>
      </c>
      <c r="S125" s="325">
        <v>0</v>
      </c>
      <c r="T125" s="325">
        <v>0</v>
      </c>
      <c r="U125" s="492">
        <f>O125+P125+Q125+R125+S125+T125</f>
        <v>0</v>
      </c>
      <c r="V125" s="325">
        <v>0</v>
      </c>
      <c r="W125" s="325">
        <v>0</v>
      </c>
      <c r="X125" s="325">
        <v>0</v>
      </c>
      <c r="Y125" s="492">
        <f t="shared" si="287"/>
        <v>0</v>
      </c>
      <c r="Z125" s="492">
        <f t="shared" si="288"/>
        <v>0</v>
      </c>
      <c r="AA125" s="494">
        <f t="shared" si="289"/>
        <v>0</v>
      </c>
      <c r="AB125" s="494">
        <f t="shared" si="290"/>
        <v>0</v>
      </c>
      <c r="AC125" s="492">
        <v>0</v>
      </c>
      <c r="AD125" s="789">
        <f t="shared" si="291"/>
        <v>0</v>
      </c>
      <c r="AE125" s="715">
        <v>0</v>
      </c>
      <c r="AF125" s="491">
        <v>0</v>
      </c>
      <c r="AG125" s="326">
        <v>0</v>
      </c>
      <c r="AH125" s="326">
        <v>0</v>
      </c>
      <c r="AI125" s="326">
        <v>0</v>
      </c>
      <c r="AJ125" s="326">
        <v>0</v>
      </c>
      <c r="AK125" s="626">
        <f>SUM(AE125:AJ125)</f>
        <v>0</v>
      </c>
      <c r="AL125" s="696">
        <f>I125+AD125</f>
        <v>929877</v>
      </c>
      <c r="AM125" s="492">
        <f>J125+U125</f>
        <v>689820</v>
      </c>
      <c r="AN125" s="492">
        <f>Y125</f>
        <v>0</v>
      </c>
      <c r="AO125" s="492">
        <f t="shared" si="292"/>
        <v>233159</v>
      </c>
      <c r="AP125" s="492">
        <f t="shared" si="292"/>
        <v>6898</v>
      </c>
      <c r="AQ125" s="492">
        <f t="shared" si="292"/>
        <v>0</v>
      </c>
      <c r="AR125" s="626">
        <f>N125+AK125</f>
        <v>1.3001</v>
      </c>
    </row>
    <row r="126" spans="1:44" ht="12.95" customHeight="1" x14ac:dyDescent="0.25">
      <c r="A126" s="249">
        <v>29</v>
      </c>
      <c r="B126" s="250">
        <v>5471</v>
      </c>
      <c r="C126" s="251">
        <v>600099229</v>
      </c>
      <c r="D126" s="250">
        <v>72743646</v>
      </c>
      <c r="E126" s="252" t="s">
        <v>394</v>
      </c>
      <c r="F126" s="216"/>
      <c r="G126" s="254"/>
      <c r="H126" s="217"/>
      <c r="I126" s="688">
        <f t="shared" ref="I126:AR126" si="293">SUM(I123:I125)</f>
        <v>13319776</v>
      </c>
      <c r="J126" s="353">
        <f t="shared" si="293"/>
        <v>9881140</v>
      </c>
      <c r="K126" s="353">
        <f t="shared" si="293"/>
        <v>3339825</v>
      </c>
      <c r="L126" s="353">
        <f t="shared" si="293"/>
        <v>98811</v>
      </c>
      <c r="M126" s="353">
        <f t="shared" ref="M126" si="294">SUM(M123:M125)</f>
        <v>0</v>
      </c>
      <c r="N126" s="817">
        <f t="shared" si="293"/>
        <v>14.1181</v>
      </c>
      <c r="O126" s="688">
        <f t="shared" si="293"/>
        <v>-10800</v>
      </c>
      <c r="P126" s="353">
        <f t="shared" si="293"/>
        <v>659283</v>
      </c>
      <c r="Q126" s="353">
        <f t="shared" si="293"/>
        <v>0</v>
      </c>
      <c r="R126" s="353">
        <f t="shared" si="293"/>
        <v>0</v>
      </c>
      <c r="S126" s="353">
        <f t="shared" si="293"/>
        <v>0</v>
      </c>
      <c r="T126" s="353">
        <f t="shared" si="293"/>
        <v>0</v>
      </c>
      <c r="U126" s="353">
        <f t="shared" si="293"/>
        <v>648483</v>
      </c>
      <c r="V126" s="353">
        <f t="shared" si="293"/>
        <v>10800</v>
      </c>
      <c r="W126" s="353">
        <f t="shared" si="293"/>
        <v>0</v>
      </c>
      <c r="X126" s="353">
        <f t="shared" si="293"/>
        <v>0</v>
      </c>
      <c r="Y126" s="353">
        <f t="shared" si="293"/>
        <v>10800</v>
      </c>
      <c r="Z126" s="353">
        <f t="shared" si="293"/>
        <v>659283</v>
      </c>
      <c r="AA126" s="353">
        <f t="shared" si="293"/>
        <v>222838</v>
      </c>
      <c r="AB126" s="353">
        <f t="shared" si="293"/>
        <v>6485</v>
      </c>
      <c r="AC126" s="353">
        <f t="shared" si="293"/>
        <v>0</v>
      </c>
      <c r="AD126" s="685">
        <f t="shared" si="293"/>
        <v>888606</v>
      </c>
      <c r="AE126" s="830">
        <v>0</v>
      </c>
      <c r="AF126" s="354">
        <f t="shared" si="293"/>
        <v>1.63</v>
      </c>
      <c r="AG126" s="354">
        <f t="shared" si="293"/>
        <v>0</v>
      </c>
      <c r="AH126" s="354">
        <f t="shared" si="293"/>
        <v>0</v>
      </c>
      <c r="AI126" s="354">
        <f t="shared" si="293"/>
        <v>0</v>
      </c>
      <c r="AJ126" s="354">
        <f t="shared" si="293"/>
        <v>0</v>
      </c>
      <c r="AK126" s="215">
        <f t="shared" si="293"/>
        <v>1.63</v>
      </c>
      <c r="AL126" s="688">
        <f t="shared" si="293"/>
        <v>14208382</v>
      </c>
      <c r="AM126" s="353">
        <f t="shared" si="293"/>
        <v>10529623</v>
      </c>
      <c r="AN126" s="353">
        <f t="shared" si="293"/>
        <v>10800</v>
      </c>
      <c r="AO126" s="353">
        <f t="shared" si="293"/>
        <v>3562663</v>
      </c>
      <c r="AP126" s="353">
        <f t="shared" si="293"/>
        <v>105296</v>
      </c>
      <c r="AQ126" s="353">
        <f t="shared" si="293"/>
        <v>0</v>
      </c>
      <c r="AR126" s="215">
        <f t="shared" si="293"/>
        <v>15.748100000000001</v>
      </c>
    </row>
    <row r="127" spans="1:44" ht="12.95" customHeight="1" x14ac:dyDescent="0.25">
      <c r="A127" s="205">
        <v>30</v>
      </c>
      <c r="B127" s="246">
        <v>5473</v>
      </c>
      <c r="C127" s="247">
        <v>600098583</v>
      </c>
      <c r="D127" s="206">
        <v>75016320</v>
      </c>
      <c r="E127" s="248" t="s">
        <v>395</v>
      </c>
      <c r="F127" s="206">
        <v>3111</v>
      </c>
      <c r="G127" s="248" t="s">
        <v>290</v>
      </c>
      <c r="H127" s="209" t="s">
        <v>262</v>
      </c>
      <c r="I127" s="627">
        <f t="shared" ref="I127:I128" si="295">SUM(J127:M127)</f>
        <v>2054131</v>
      </c>
      <c r="J127" s="559">
        <v>1523836</v>
      </c>
      <c r="K127" s="431">
        <f t="shared" ref="K127:K128" si="296">ROUND(J127*33.8%,0)</f>
        <v>515057</v>
      </c>
      <c r="L127" s="431">
        <f t="shared" ref="L127:L128" si="297">ROUND(J127*1%,0)</f>
        <v>15238</v>
      </c>
      <c r="M127" s="325">
        <v>0</v>
      </c>
      <c r="N127" s="751">
        <v>2.3704000000000001</v>
      </c>
      <c r="O127" s="327">
        <f>V127*-1</f>
        <v>0</v>
      </c>
      <c r="P127" s="492">
        <v>0</v>
      </c>
      <c r="Q127" s="325">
        <v>0</v>
      </c>
      <c r="R127" s="325">
        <v>0</v>
      </c>
      <c r="S127" s="325">
        <v>0</v>
      </c>
      <c r="T127" s="325">
        <v>0</v>
      </c>
      <c r="U127" s="492">
        <f>O127+P127+Q127+R127+S127+T127</f>
        <v>0</v>
      </c>
      <c r="V127" s="325">
        <v>0</v>
      </c>
      <c r="W127" s="325">
        <v>0</v>
      </c>
      <c r="X127" s="325">
        <v>0</v>
      </c>
      <c r="Y127" s="492">
        <f t="shared" ref="Y127:Y128" si="298">V127+W127+X127</f>
        <v>0</v>
      </c>
      <c r="Z127" s="492">
        <f t="shared" ref="Z127:Z128" si="299">U127+Y127</f>
        <v>0</v>
      </c>
      <c r="AA127" s="494">
        <f t="shared" ref="AA127:AA128" si="300">ROUND((U127+Y127)*33.8%,0)</f>
        <v>0</v>
      </c>
      <c r="AB127" s="494">
        <f t="shared" ref="AB127:AB128" si="301">ROUND(U127*1%,0)</f>
        <v>0</v>
      </c>
      <c r="AC127" s="492">
        <v>0</v>
      </c>
      <c r="AD127" s="789">
        <f t="shared" ref="AD127:AD128" si="302">Z127+AA127+AB127+AC127</f>
        <v>0</v>
      </c>
      <c r="AE127" s="715">
        <v>0</v>
      </c>
      <c r="AF127" s="491">
        <v>0</v>
      </c>
      <c r="AG127" s="326">
        <v>0</v>
      </c>
      <c r="AH127" s="326">
        <v>0</v>
      </c>
      <c r="AI127" s="326">
        <v>0</v>
      </c>
      <c r="AJ127" s="326">
        <v>0</v>
      </c>
      <c r="AK127" s="626">
        <f>SUM(AE127:AJ127)</f>
        <v>0</v>
      </c>
      <c r="AL127" s="696">
        <f>I127+AD127</f>
        <v>2054131</v>
      </c>
      <c r="AM127" s="492">
        <f>J127+U127</f>
        <v>1523836</v>
      </c>
      <c r="AN127" s="492">
        <f>Y127</f>
        <v>0</v>
      </c>
      <c r="AO127" s="492">
        <f t="shared" ref="AO127:AQ128" si="303">K127+AA127</f>
        <v>515057</v>
      </c>
      <c r="AP127" s="492">
        <f t="shared" si="303"/>
        <v>15238</v>
      </c>
      <c r="AQ127" s="492">
        <f t="shared" si="303"/>
        <v>0</v>
      </c>
      <c r="AR127" s="626">
        <f>N127+AK127</f>
        <v>2.3704000000000001</v>
      </c>
    </row>
    <row r="128" spans="1:44" ht="12.95" customHeight="1" x14ac:dyDescent="0.25">
      <c r="A128" s="205">
        <v>30</v>
      </c>
      <c r="B128" s="246">
        <v>5473</v>
      </c>
      <c r="C128" s="247">
        <v>600098583</v>
      </c>
      <c r="D128" s="206">
        <v>75016320</v>
      </c>
      <c r="E128" s="248" t="s">
        <v>395</v>
      </c>
      <c r="F128" s="206">
        <v>3111</v>
      </c>
      <c r="G128" s="248" t="s">
        <v>284</v>
      </c>
      <c r="H128" s="209" t="s">
        <v>263</v>
      </c>
      <c r="I128" s="586">
        <f t="shared" si="295"/>
        <v>0</v>
      </c>
      <c r="J128" s="490"/>
      <c r="K128" s="431">
        <f t="shared" si="296"/>
        <v>0</v>
      </c>
      <c r="L128" s="431">
        <f t="shared" si="297"/>
        <v>0</v>
      </c>
      <c r="M128" s="325">
        <v>0</v>
      </c>
      <c r="N128" s="752"/>
      <c r="O128" s="327">
        <f>V128*-1</f>
        <v>0</v>
      </c>
      <c r="P128" s="492">
        <v>99212</v>
      </c>
      <c r="Q128" s="325">
        <v>0</v>
      </c>
      <c r="R128" s="325">
        <v>0</v>
      </c>
      <c r="S128" s="325">
        <v>0</v>
      </c>
      <c r="T128" s="325">
        <v>0</v>
      </c>
      <c r="U128" s="492">
        <f>O128+P128+Q128+R128+S128+T128</f>
        <v>99212</v>
      </c>
      <c r="V128" s="325">
        <v>0</v>
      </c>
      <c r="W128" s="325">
        <v>0</v>
      </c>
      <c r="X128" s="325">
        <v>0</v>
      </c>
      <c r="Y128" s="492">
        <f t="shared" si="298"/>
        <v>0</v>
      </c>
      <c r="Z128" s="492">
        <f t="shared" si="299"/>
        <v>99212</v>
      </c>
      <c r="AA128" s="494">
        <f t="shared" si="300"/>
        <v>33534</v>
      </c>
      <c r="AB128" s="494">
        <f t="shared" si="301"/>
        <v>992</v>
      </c>
      <c r="AC128" s="492">
        <v>0</v>
      </c>
      <c r="AD128" s="789">
        <f t="shared" si="302"/>
        <v>133738</v>
      </c>
      <c r="AE128" s="715">
        <v>0</v>
      </c>
      <c r="AF128" s="491">
        <v>0.25</v>
      </c>
      <c r="AG128" s="326">
        <v>0</v>
      </c>
      <c r="AH128" s="326">
        <v>0</v>
      </c>
      <c r="AI128" s="326">
        <v>0</v>
      </c>
      <c r="AJ128" s="326">
        <v>0</v>
      </c>
      <c r="AK128" s="626">
        <f>SUM(AE128:AJ128)</f>
        <v>0.25</v>
      </c>
      <c r="AL128" s="696">
        <f>I128+AD128</f>
        <v>133738</v>
      </c>
      <c r="AM128" s="492">
        <f>J128+U128</f>
        <v>99212</v>
      </c>
      <c r="AN128" s="492">
        <f>Y128</f>
        <v>0</v>
      </c>
      <c r="AO128" s="492">
        <f t="shared" si="303"/>
        <v>33534</v>
      </c>
      <c r="AP128" s="492">
        <f t="shared" si="303"/>
        <v>992</v>
      </c>
      <c r="AQ128" s="492">
        <f t="shared" si="303"/>
        <v>0</v>
      </c>
      <c r="AR128" s="626">
        <f>N128+AK128</f>
        <v>0.25</v>
      </c>
    </row>
    <row r="129" spans="1:44" ht="12.95" customHeight="1" thickBot="1" x14ac:dyDescent="0.3">
      <c r="A129" s="260">
        <v>30</v>
      </c>
      <c r="B129" s="261">
        <v>5473</v>
      </c>
      <c r="C129" s="262">
        <v>600098583</v>
      </c>
      <c r="D129" s="261">
        <v>75016320</v>
      </c>
      <c r="E129" s="263" t="s">
        <v>396</v>
      </c>
      <c r="F129" s="220"/>
      <c r="G129" s="264"/>
      <c r="H129" s="221"/>
      <c r="I129" s="820">
        <f t="shared" ref="I129:AR129" si="304">SUM(I127:I128)</f>
        <v>2054131</v>
      </c>
      <c r="J129" s="604">
        <f t="shared" si="304"/>
        <v>1523836</v>
      </c>
      <c r="K129" s="604">
        <f t="shared" si="304"/>
        <v>515057</v>
      </c>
      <c r="L129" s="604">
        <f t="shared" si="304"/>
        <v>15238</v>
      </c>
      <c r="M129" s="376">
        <f t="shared" ref="M129" si="305">SUM(M127:M128)</f>
        <v>0</v>
      </c>
      <c r="N129" s="821">
        <f t="shared" si="304"/>
        <v>2.3704000000000001</v>
      </c>
      <c r="O129" s="689">
        <f t="shared" si="304"/>
        <v>0</v>
      </c>
      <c r="P129" s="376">
        <f t="shared" si="304"/>
        <v>99212</v>
      </c>
      <c r="Q129" s="376">
        <f t="shared" si="304"/>
        <v>0</v>
      </c>
      <c r="R129" s="376">
        <f t="shared" si="304"/>
        <v>0</v>
      </c>
      <c r="S129" s="376">
        <f t="shared" si="304"/>
        <v>0</v>
      </c>
      <c r="T129" s="376">
        <f t="shared" si="304"/>
        <v>0</v>
      </c>
      <c r="U129" s="376">
        <f t="shared" si="304"/>
        <v>99212</v>
      </c>
      <c r="V129" s="376">
        <f t="shared" si="304"/>
        <v>0</v>
      </c>
      <c r="W129" s="376">
        <f t="shared" si="304"/>
        <v>0</v>
      </c>
      <c r="X129" s="376">
        <f t="shared" si="304"/>
        <v>0</v>
      </c>
      <c r="Y129" s="376">
        <f t="shared" si="304"/>
        <v>0</v>
      </c>
      <c r="Z129" s="376">
        <f t="shared" si="304"/>
        <v>99212</v>
      </c>
      <c r="AA129" s="376">
        <f t="shared" si="304"/>
        <v>33534</v>
      </c>
      <c r="AB129" s="376">
        <f t="shared" si="304"/>
        <v>992</v>
      </c>
      <c r="AC129" s="376">
        <f t="shared" si="304"/>
        <v>0</v>
      </c>
      <c r="AD129" s="826">
        <f t="shared" si="304"/>
        <v>133738</v>
      </c>
      <c r="AE129" s="831">
        <v>0</v>
      </c>
      <c r="AF129" s="377">
        <f t="shared" si="304"/>
        <v>0.25</v>
      </c>
      <c r="AG129" s="377">
        <f t="shared" si="304"/>
        <v>0</v>
      </c>
      <c r="AH129" s="377">
        <f t="shared" si="304"/>
        <v>0</v>
      </c>
      <c r="AI129" s="377">
        <f t="shared" si="304"/>
        <v>0</v>
      </c>
      <c r="AJ129" s="377">
        <f t="shared" si="304"/>
        <v>0</v>
      </c>
      <c r="AK129" s="383">
        <f t="shared" si="304"/>
        <v>0.25</v>
      </c>
      <c r="AL129" s="689">
        <f t="shared" si="304"/>
        <v>2187869</v>
      </c>
      <c r="AM129" s="376">
        <f t="shared" si="304"/>
        <v>1623048</v>
      </c>
      <c r="AN129" s="376">
        <f t="shared" si="304"/>
        <v>0</v>
      </c>
      <c r="AO129" s="376">
        <f t="shared" si="304"/>
        <v>548591</v>
      </c>
      <c r="AP129" s="376">
        <f t="shared" si="304"/>
        <v>16230</v>
      </c>
      <c r="AQ129" s="376">
        <f t="shared" si="304"/>
        <v>0</v>
      </c>
      <c r="AR129" s="383">
        <f t="shared" si="304"/>
        <v>2.6204000000000001</v>
      </c>
    </row>
    <row r="130" spans="1:44" ht="12.95" customHeight="1" thickBot="1" x14ac:dyDescent="0.3">
      <c r="A130" s="265"/>
      <c r="B130" s="228"/>
      <c r="C130" s="266"/>
      <c r="D130" s="228"/>
      <c r="E130" s="230" t="s">
        <v>733</v>
      </c>
      <c r="F130" s="228"/>
      <c r="G130" s="228"/>
      <c r="H130" s="231"/>
      <c r="I130" s="605">
        <f t="shared" ref="I130:AR130" si="306">I129+I126+I122+I119+I114+I109+I104+I101+I98+I93+I90+I87+I85+I81+I78+I74+I71+I66+I61+I56+I51+I46+I44+I38+I33+I28+I22+I20+I17+I14</f>
        <v>315683921</v>
      </c>
      <c r="J130" s="607">
        <f t="shared" si="306"/>
        <v>234186884</v>
      </c>
      <c r="K130" s="607">
        <f t="shared" si="306"/>
        <v>79155169</v>
      </c>
      <c r="L130" s="607">
        <f t="shared" si="306"/>
        <v>2341868</v>
      </c>
      <c r="M130" s="406">
        <f t="shared" ref="M130" si="307">M129+M126+M122+M119+M114+M109+M104+M101+M98+M93+M90+M87+M85+M81+M78+M74+M71+M66+M61+M56+M51+M46+M44+M38+M33+M28+M22+M20+M17+M14</f>
        <v>0</v>
      </c>
      <c r="N130" s="749">
        <f t="shared" si="306"/>
        <v>348.74899999999997</v>
      </c>
      <c r="O130" s="416">
        <f t="shared" si="306"/>
        <v>-742200</v>
      </c>
      <c r="P130" s="406">
        <f t="shared" si="306"/>
        <v>21658084</v>
      </c>
      <c r="Q130" s="406">
        <f t="shared" si="306"/>
        <v>27105</v>
      </c>
      <c r="R130" s="406">
        <f t="shared" si="306"/>
        <v>330504</v>
      </c>
      <c r="S130" s="406">
        <f t="shared" si="306"/>
        <v>0</v>
      </c>
      <c r="T130" s="406">
        <f t="shared" si="306"/>
        <v>0</v>
      </c>
      <c r="U130" s="406">
        <f t="shared" si="306"/>
        <v>21273493</v>
      </c>
      <c r="V130" s="406">
        <f t="shared" si="306"/>
        <v>742200</v>
      </c>
      <c r="W130" s="406">
        <f t="shared" si="306"/>
        <v>407533</v>
      </c>
      <c r="X130" s="406">
        <f t="shared" si="306"/>
        <v>0</v>
      </c>
      <c r="Y130" s="406">
        <f t="shared" si="306"/>
        <v>1149733</v>
      </c>
      <c r="Z130" s="406">
        <f t="shared" si="306"/>
        <v>22423226</v>
      </c>
      <c r="AA130" s="406">
        <f t="shared" si="306"/>
        <v>7579051</v>
      </c>
      <c r="AB130" s="406">
        <f t="shared" si="306"/>
        <v>212734</v>
      </c>
      <c r="AC130" s="406">
        <f t="shared" si="306"/>
        <v>0</v>
      </c>
      <c r="AD130" s="827">
        <f t="shared" si="306"/>
        <v>30215011</v>
      </c>
      <c r="AE130" s="832">
        <f t="shared" si="306"/>
        <v>-0.71000000000000019</v>
      </c>
      <c r="AF130" s="411">
        <f t="shared" si="306"/>
        <v>52.95</v>
      </c>
      <c r="AG130" s="411">
        <f t="shared" si="306"/>
        <v>0.6</v>
      </c>
      <c r="AH130" s="411">
        <f t="shared" si="306"/>
        <v>0.04</v>
      </c>
      <c r="AI130" s="411">
        <f t="shared" si="306"/>
        <v>0</v>
      </c>
      <c r="AJ130" s="411">
        <f t="shared" si="306"/>
        <v>0</v>
      </c>
      <c r="AK130" s="833">
        <f>AK129+AK126+AK122+AK119+AK114+AK109+AK104+AK101+AK98+AK93+AK90+AK87+AK85+AK81+AK78+AK74+AK71+AK66+AK61+AK56+AK51+AK46+AK44+AK38+AK33+AK28+AK22+AK20+AK17+AK14</f>
        <v>52.879999999999988</v>
      </c>
      <c r="AL130" s="416">
        <f t="shared" si="306"/>
        <v>345898932</v>
      </c>
      <c r="AM130" s="406">
        <f t="shared" si="306"/>
        <v>255460377</v>
      </c>
      <c r="AN130" s="406">
        <f t="shared" si="306"/>
        <v>1149733</v>
      </c>
      <c r="AO130" s="406">
        <f t="shared" si="306"/>
        <v>86734220</v>
      </c>
      <c r="AP130" s="406">
        <f t="shared" si="306"/>
        <v>2554602</v>
      </c>
      <c r="AQ130" s="406">
        <f t="shared" si="306"/>
        <v>0</v>
      </c>
      <c r="AR130" s="833">
        <f t="shared" si="306"/>
        <v>401.62900000000002</v>
      </c>
    </row>
    <row r="131" spans="1:44" ht="12.95" customHeight="1" x14ac:dyDescent="0.25">
      <c r="B131" s="234"/>
      <c r="D131" s="234"/>
      <c r="E131" s="235"/>
      <c r="F131" s="234"/>
      <c r="I131" s="328">
        <f>SUM(J130:M130)</f>
        <v>315683921</v>
      </c>
      <c r="J131" s="328"/>
      <c r="K131" s="328"/>
      <c r="L131" s="328"/>
      <c r="M131" s="328"/>
      <c r="N131" s="742"/>
      <c r="O131" s="328">
        <f>V130</f>
        <v>742200</v>
      </c>
      <c r="P131" s="329"/>
      <c r="Q131" s="329"/>
      <c r="R131" s="329"/>
      <c r="S131" s="328"/>
      <c r="T131" s="329"/>
      <c r="U131" s="330">
        <f>SUM(O130:T130)</f>
        <v>21273493</v>
      </c>
      <c r="V131" s="330">
        <f>O130</f>
        <v>-742200</v>
      </c>
      <c r="W131" s="331"/>
      <c r="X131" s="331"/>
      <c r="Y131" s="330">
        <f>SUM(V130:X130)</f>
        <v>1149733</v>
      </c>
      <c r="Z131" s="330">
        <f>U130+Y130</f>
        <v>22423226</v>
      </c>
      <c r="AA131" s="332"/>
      <c r="AB131" s="332"/>
      <c r="AC131" s="330"/>
      <c r="AD131" s="330">
        <f>SUM(Z130:AC130)</f>
        <v>30215011</v>
      </c>
      <c r="AE131" s="333"/>
      <c r="AF131" s="333"/>
      <c r="AG131" s="333"/>
      <c r="AH131" s="333"/>
      <c r="AI131" s="381"/>
      <c r="AJ131" s="333"/>
      <c r="AK131" s="381">
        <f>SUM(AE130:AJ130)</f>
        <v>52.88</v>
      </c>
      <c r="AL131" s="328">
        <f>SUM(AM130:AQ130)</f>
        <v>345898932</v>
      </c>
      <c r="AM131" s="328"/>
      <c r="AN131" s="58"/>
      <c r="AO131" s="330"/>
      <c r="AP131" s="330"/>
      <c r="AQ131" s="330">
        <f>M130+AC130</f>
        <v>0</v>
      </c>
      <c r="AR131" s="329"/>
    </row>
    <row r="132" spans="1:44" ht="12.95" customHeight="1" thickBot="1" x14ac:dyDescent="0.3">
      <c r="B132" s="234"/>
      <c r="D132" s="234"/>
      <c r="F132" s="234"/>
      <c r="I132" s="328">
        <f>SUM(J133:M133)</f>
        <v>315683921</v>
      </c>
      <c r="J132" s="328"/>
      <c r="K132" s="328"/>
      <c r="L132" s="328"/>
      <c r="M132" s="328"/>
      <c r="N132" s="742"/>
      <c r="O132" s="328">
        <f>V133</f>
        <v>742200</v>
      </c>
      <c r="P132" s="329"/>
      <c r="Q132" s="329"/>
      <c r="R132" s="329"/>
      <c r="S132" s="328"/>
      <c r="T132" s="329"/>
      <c r="U132" s="330">
        <f>SUM(O133:T133)</f>
        <v>21273493</v>
      </c>
      <c r="V132" s="330"/>
      <c r="W132" s="331"/>
      <c r="X132" s="331"/>
      <c r="Y132" s="330">
        <f>SUM(V133:X133)</f>
        <v>1149733</v>
      </c>
      <c r="Z132" s="330">
        <f>U133+Y133</f>
        <v>22423226</v>
      </c>
      <c r="AA132" s="332"/>
      <c r="AB132" s="332"/>
      <c r="AC132" s="330"/>
      <c r="AD132" s="330">
        <f>SUM(Z133:AC133)</f>
        <v>30215011</v>
      </c>
      <c r="AE132" s="333"/>
      <c r="AF132" s="333"/>
      <c r="AG132" s="333"/>
      <c r="AH132" s="333"/>
      <c r="AI132" s="381"/>
      <c r="AJ132" s="333"/>
      <c r="AK132" s="381">
        <f>SUM(AE133:AJ133)</f>
        <v>52.88</v>
      </c>
      <c r="AL132" s="328">
        <f>AM133+AN133+AO133+AP133+AQ133</f>
        <v>345898932</v>
      </c>
      <c r="AM132" s="328"/>
      <c r="AN132" s="58"/>
      <c r="AO132" s="48"/>
      <c r="AP132" s="48"/>
      <c r="AQ132" s="48"/>
      <c r="AR132" s="329"/>
    </row>
    <row r="133" spans="1:44" s="60" customFormat="1" ht="12.95" customHeight="1" thickBot="1" x14ac:dyDescent="0.3">
      <c r="D133" s="236"/>
      <c r="E133" s="237"/>
      <c r="F133" s="236"/>
      <c r="G133" s="238"/>
      <c r="H133" s="19" t="s">
        <v>0</v>
      </c>
      <c r="I133" s="96">
        <f t="shared" ref="I133:AR133" si="308">SUM(I134:I143)</f>
        <v>315683921</v>
      </c>
      <c r="J133" s="31">
        <f t="shared" si="308"/>
        <v>234186884</v>
      </c>
      <c r="K133" s="31">
        <f t="shared" si="308"/>
        <v>79155169</v>
      </c>
      <c r="L133" s="31">
        <f t="shared" si="308"/>
        <v>2341868</v>
      </c>
      <c r="M133" s="31">
        <f t="shared" si="308"/>
        <v>0</v>
      </c>
      <c r="N133" s="692">
        <f t="shared" si="308"/>
        <v>348.74899999999997</v>
      </c>
      <c r="O133" s="101">
        <f t="shared" si="308"/>
        <v>-742200</v>
      </c>
      <c r="P133" s="31">
        <f t="shared" si="308"/>
        <v>21658084</v>
      </c>
      <c r="Q133" s="31">
        <f t="shared" si="308"/>
        <v>27105</v>
      </c>
      <c r="R133" s="31">
        <f t="shared" si="308"/>
        <v>330504</v>
      </c>
      <c r="S133" s="31">
        <f t="shared" si="308"/>
        <v>0</v>
      </c>
      <c r="T133" s="31">
        <f t="shared" si="308"/>
        <v>0</v>
      </c>
      <c r="U133" s="31">
        <f t="shared" si="308"/>
        <v>21273493</v>
      </c>
      <c r="V133" s="31">
        <f t="shared" si="308"/>
        <v>742200</v>
      </c>
      <c r="W133" s="31">
        <f t="shared" si="308"/>
        <v>407533</v>
      </c>
      <c r="X133" s="31">
        <f t="shared" si="308"/>
        <v>0</v>
      </c>
      <c r="Y133" s="31">
        <f t="shared" si="308"/>
        <v>1149733</v>
      </c>
      <c r="Z133" s="31">
        <f t="shared" si="308"/>
        <v>22423226</v>
      </c>
      <c r="AA133" s="31">
        <f t="shared" si="308"/>
        <v>7579051</v>
      </c>
      <c r="AB133" s="31">
        <f t="shared" si="308"/>
        <v>212734</v>
      </c>
      <c r="AC133" s="31">
        <f t="shared" si="308"/>
        <v>0</v>
      </c>
      <c r="AD133" s="31">
        <f t="shared" si="308"/>
        <v>30215011</v>
      </c>
      <c r="AE133" s="32">
        <f t="shared" si="308"/>
        <v>-0.71</v>
      </c>
      <c r="AF133" s="32">
        <f t="shared" si="308"/>
        <v>52.95</v>
      </c>
      <c r="AG133" s="32">
        <f t="shared" si="308"/>
        <v>0.6</v>
      </c>
      <c r="AH133" s="32">
        <f t="shared" si="308"/>
        <v>0.04</v>
      </c>
      <c r="AI133" s="32">
        <f t="shared" si="308"/>
        <v>0</v>
      </c>
      <c r="AJ133" s="32">
        <f t="shared" si="308"/>
        <v>0</v>
      </c>
      <c r="AK133" s="100">
        <f t="shared" si="308"/>
        <v>52.879999999999988</v>
      </c>
      <c r="AL133" s="96">
        <f t="shared" si="308"/>
        <v>345898932</v>
      </c>
      <c r="AM133" s="31">
        <f t="shared" si="308"/>
        <v>255460377</v>
      </c>
      <c r="AN133" s="31">
        <f t="shared" si="308"/>
        <v>1149733</v>
      </c>
      <c r="AO133" s="31">
        <f t="shared" si="308"/>
        <v>86734220</v>
      </c>
      <c r="AP133" s="31">
        <f t="shared" si="308"/>
        <v>2554602</v>
      </c>
      <c r="AQ133" s="31">
        <f t="shared" si="308"/>
        <v>0</v>
      </c>
      <c r="AR133" s="647">
        <f t="shared" si="308"/>
        <v>401.62900000000002</v>
      </c>
    </row>
    <row r="134" spans="1:44" s="60" customFormat="1" ht="12.95" customHeight="1" x14ac:dyDescent="0.25">
      <c r="D134" s="236"/>
      <c r="E134" s="237"/>
      <c r="F134" s="236"/>
      <c r="G134" s="238"/>
      <c r="H134" s="1">
        <v>3111</v>
      </c>
      <c r="I134" s="370">
        <f t="shared" ref="I134:AR134" si="309">SUMIF($F$12:$F$401,"=3111",I$12:I$401)</f>
        <v>66290982</v>
      </c>
      <c r="J134" s="371">
        <f t="shared" si="309"/>
        <v>49177285</v>
      </c>
      <c r="K134" s="371">
        <f t="shared" si="309"/>
        <v>16621924</v>
      </c>
      <c r="L134" s="371">
        <f t="shared" si="309"/>
        <v>491773</v>
      </c>
      <c r="M134" s="371">
        <f t="shared" si="309"/>
        <v>0</v>
      </c>
      <c r="N134" s="822">
        <f t="shared" si="309"/>
        <v>81.234600000000015</v>
      </c>
      <c r="O134" s="372">
        <f t="shared" si="309"/>
        <v>-40800</v>
      </c>
      <c r="P134" s="371">
        <f t="shared" si="309"/>
        <v>4032484</v>
      </c>
      <c r="Q134" s="371">
        <f t="shared" si="309"/>
        <v>0</v>
      </c>
      <c r="R134" s="371">
        <f t="shared" si="309"/>
        <v>0</v>
      </c>
      <c r="S134" s="371">
        <f t="shared" si="309"/>
        <v>0</v>
      </c>
      <c r="T134" s="371">
        <f t="shared" si="309"/>
        <v>0</v>
      </c>
      <c r="U134" s="371">
        <f t="shared" si="309"/>
        <v>3991684</v>
      </c>
      <c r="V134" s="371">
        <f t="shared" si="309"/>
        <v>40800</v>
      </c>
      <c r="W134" s="371">
        <f t="shared" si="309"/>
        <v>0</v>
      </c>
      <c r="X134" s="371">
        <f t="shared" si="309"/>
        <v>0</v>
      </c>
      <c r="Y134" s="371">
        <f t="shared" si="309"/>
        <v>40800</v>
      </c>
      <c r="Z134" s="371">
        <f t="shared" si="309"/>
        <v>4032484</v>
      </c>
      <c r="AA134" s="371">
        <f t="shared" si="309"/>
        <v>1362980</v>
      </c>
      <c r="AB134" s="371">
        <f t="shared" si="309"/>
        <v>39917</v>
      </c>
      <c r="AC134" s="371">
        <f t="shared" si="309"/>
        <v>0</v>
      </c>
      <c r="AD134" s="371">
        <f t="shared" si="309"/>
        <v>5435381</v>
      </c>
      <c r="AE134" s="373">
        <f t="shared" si="309"/>
        <v>0</v>
      </c>
      <c r="AF134" s="373">
        <f t="shared" si="309"/>
        <v>10.130000000000001</v>
      </c>
      <c r="AG134" s="373">
        <f t="shared" si="309"/>
        <v>0</v>
      </c>
      <c r="AH134" s="373">
        <f t="shared" si="309"/>
        <v>0</v>
      </c>
      <c r="AI134" s="373">
        <f t="shared" si="309"/>
        <v>0</v>
      </c>
      <c r="AJ134" s="373">
        <f t="shared" si="309"/>
        <v>0</v>
      </c>
      <c r="AK134" s="374">
        <f t="shared" si="309"/>
        <v>10.130000000000001</v>
      </c>
      <c r="AL134" s="370">
        <f t="shared" si="309"/>
        <v>71726363</v>
      </c>
      <c r="AM134" s="371">
        <f t="shared" si="309"/>
        <v>53168969</v>
      </c>
      <c r="AN134" s="371">
        <f t="shared" si="309"/>
        <v>40800</v>
      </c>
      <c r="AO134" s="371">
        <f t="shared" si="309"/>
        <v>17984904</v>
      </c>
      <c r="AP134" s="371">
        <f t="shared" si="309"/>
        <v>531690</v>
      </c>
      <c r="AQ134" s="371">
        <f t="shared" si="309"/>
        <v>0</v>
      </c>
      <c r="AR134" s="649">
        <f t="shared" si="309"/>
        <v>91.36460000000001</v>
      </c>
    </row>
    <row r="135" spans="1:44" s="60" customFormat="1" ht="12.95" customHeight="1" x14ac:dyDescent="0.25">
      <c r="D135" s="236"/>
      <c r="E135" s="237"/>
      <c r="F135" s="236"/>
      <c r="G135" s="238"/>
      <c r="H135" s="2">
        <v>3113</v>
      </c>
      <c r="I135" s="119">
        <f t="shared" ref="I135:AR135" si="310">SUMIF($F$12:$F$401,"=3113",I$12:I$401)</f>
        <v>135287312</v>
      </c>
      <c r="J135" s="14">
        <f t="shared" si="310"/>
        <v>100361509</v>
      </c>
      <c r="K135" s="14">
        <f t="shared" si="310"/>
        <v>33922188</v>
      </c>
      <c r="L135" s="14">
        <f t="shared" si="310"/>
        <v>1003615</v>
      </c>
      <c r="M135" s="14">
        <f t="shared" si="310"/>
        <v>0</v>
      </c>
      <c r="N135" s="823">
        <f t="shared" si="310"/>
        <v>138.27180000000001</v>
      </c>
      <c r="O135" s="120">
        <f t="shared" si="310"/>
        <v>-334200</v>
      </c>
      <c r="P135" s="14">
        <f t="shared" si="310"/>
        <v>13145595</v>
      </c>
      <c r="Q135" s="14">
        <f t="shared" si="310"/>
        <v>27105</v>
      </c>
      <c r="R135" s="14">
        <f t="shared" si="310"/>
        <v>330504</v>
      </c>
      <c r="S135" s="14">
        <f t="shared" si="310"/>
        <v>0</v>
      </c>
      <c r="T135" s="14">
        <f t="shared" si="310"/>
        <v>0</v>
      </c>
      <c r="U135" s="14">
        <f t="shared" si="310"/>
        <v>13169004</v>
      </c>
      <c r="V135" s="14">
        <f t="shared" si="310"/>
        <v>334200</v>
      </c>
      <c r="W135" s="14">
        <f t="shared" si="310"/>
        <v>104794</v>
      </c>
      <c r="X135" s="14">
        <f t="shared" si="310"/>
        <v>0</v>
      </c>
      <c r="Y135" s="14">
        <f t="shared" si="310"/>
        <v>438994</v>
      </c>
      <c r="Z135" s="14">
        <f t="shared" si="310"/>
        <v>13607998</v>
      </c>
      <c r="AA135" s="14">
        <f t="shared" si="310"/>
        <v>4599503</v>
      </c>
      <c r="AB135" s="14">
        <f t="shared" si="310"/>
        <v>131690</v>
      </c>
      <c r="AC135" s="14">
        <f t="shared" si="310"/>
        <v>0</v>
      </c>
      <c r="AD135" s="14">
        <f t="shared" si="310"/>
        <v>18339191</v>
      </c>
      <c r="AE135" s="11">
        <f t="shared" si="310"/>
        <v>-0.37</v>
      </c>
      <c r="AF135" s="11">
        <f t="shared" si="310"/>
        <v>31.729999999999997</v>
      </c>
      <c r="AG135" s="11">
        <f t="shared" si="310"/>
        <v>0.6</v>
      </c>
      <c r="AH135" s="11">
        <f t="shared" si="310"/>
        <v>0.04</v>
      </c>
      <c r="AI135" s="11">
        <f t="shared" si="310"/>
        <v>0</v>
      </c>
      <c r="AJ135" s="11">
        <f t="shared" si="310"/>
        <v>0</v>
      </c>
      <c r="AK135" s="121">
        <f t="shared" si="310"/>
        <v>31.999999999999996</v>
      </c>
      <c r="AL135" s="119">
        <f t="shared" si="310"/>
        <v>153626503</v>
      </c>
      <c r="AM135" s="14">
        <f t="shared" si="310"/>
        <v>113530513</v>
      </c>
      <c r="AN135" s="14">
        <f t="shared" si="310"/>
        <v>438994</v>
      </c>
      <c r="AO135" s="14">
        <f t="shared" si="310"/>
        <v>38521691</v>
      </c>
      <c r="AP135" s="14">
        <f t="shared" si="310"/>
        <v>1135305</v>
      </c>
      <c r="AQ135" s="14">
        <f t="shared" si="310"/>
        <v>0</v>
      </c>
      <c r="AR135" s="651">
        <f t="shared" si="310"/>
        <v>170.27180000000001</v>
      </c>
    </row>
    <row r="136" spans="1:44" s="60" customFormat="1" ht="12.95" customHeight="1" x14ac:dyDescent="0.25">
      <c r="D136" s="236"/>
      <c r="E136" s="237"/>
      <c r="F136" s="236"/>
      <c r="G136" s="238"/>
      <c r="H136" s="2">
        <v>3114</v>
      </c>
      <c r="I136" s="119">
        <f t="shared" ref="I136:AR136" si="311">SUMIF($F$12:$F$401,"=3114",I$12:I$401)</f>
        <v>22472459</v>
      </c>
      <c r="J136" s="14">
        <f t="shared" si="311"/>
        <v>16670964</v>
      </c>
      <c r="K136" s="14">
        <f t="shared" si="311"/>
        <v>5634785</v>
      </c>
      <c r="L136" s="14">
        <f t="shared" si="311"/>
        <v>166710</v>
      </c>
      <c r="M136" s="14">
        <f t="shared" si="311"/>
        <v>0</v>
      </c>
      <c r="N136" s="823">
        <f t="shared" si="311"/>
        <v>22.6966</v>
      </c>
      <c r="O136" s="120">
        <f t="shared" si="311"/>
        <v>-60000</v>
      </c>
      <c r="P136" s="14">
        <f t="shared" si="311"/>
        <v>0</v>
      </c>
      <c r="Q136" s="14">
        <f t="shared" si="311"/>
        <v>0</v>
      </c>
      <c r="R136" s="14">
        <f t="shared" si="311"/>
        <v>0</v>
      </c>
      <c r="S136" s="14">
        <f t="shared" si="311"/>
        <v>0</v>
      </c>
      <c r="T136" s="14">
        <f t="shared" si="311"/>
        <v>0</v>
      </c>
      <c r="U136" s="14">
        <f t="shared" si="311"/>
        <v>-60000</v>
      </c>
      <c r="V136" s="14">
        <f t="shared" si="311"/>
        <v>60000</v>
      </c>
      <c r="W136" s="14">
        <f t="shared" si="311"/>
        <v>0</v>
      </c>
      <c r="X136" s="14">
        <f t="shared" si="311"/>
        <v>0</v>
      </c>
      <c r="Y136" s="14">
        <f t="shared" si="311"/>
        <v>60000</v>
      </c>
      <c r="Z136" s="14">
        <f t="shared" si="311"/>
        <v>0</v>
      </c>
      <c r="AA136" s="14">
        <f t="shared" si="311"/>
        <v>0</v>
      </c>
      <c r="AB136" s="14">
        <f t="shared" si="311"/>
        <v>-600</v>
      </c>
      <c r="AC136" s="14">
        <f t="shared" si="311"/>
        <v>0</v>
      </c>
      <c r="AD136" s="14">
        <f t="shared" si="311"/>
        <v>-600</v>
      </c>
      <c r="AE136" s="11">
        <f t="shared" si="311"/>
        <v>-6.0000000000000005E-2</v>
      </c>
      <c r="AF136" s="11">
        <f t="shared" si="311"/>
        <v>0</v>
      </c>
      <c r="AG136" s="11">
        <f t="shared" si="311"/>
        <v>0</v>
      </c>
      <c r="AH136" s="11">
        <f t="shared" si="311"/>
        <v>0</v>
      </c>
      <c r="AI136" s="11">
        <f t="shared" si="311"/>
        <v>0</v>
      </c>
      <c r="AJ136" s="11">
        <f t="shared" si="311"/>
        <v>0</v>
      </c>
      <c r="AK136" s="121">
        <f t="shared" si="311"/>
        <v>-6.0000000000000005E-2</v>
      </c>
      <c r="AL136" s="119">
        <f t="shared" si="311"/>
        <v>22471859</v>
      </c>
      <c r="AM136" s="14">
        <f t="shared" si="311"/>
        <v>16610964</v>
      </c>
      <c r="AN136" s="14">
        <f t="shared" si="311"/>
        <v>60000</v>
      </c>
      <c r="AO136" s="14">
        <f t="shared" si="311"/>
        <v>5634785</v>
      </c>
      <c r="AP136" s="14">
        <f t="shared" si="311"/>
        <v>166110</v>
      </c>
      <c r="AQ136" s="14">
        <f t="shared" si="311"/>
        <v>0</v>
      </c>
      <c r="AR136" s="651">
        <f t="shared" si="311"/>
        <v>22.636599999999998</v>
      </c>
    </row>
    <row r="137" spans="1:44" s="60" customFormat="1" ht="12.95" customHeight="1" x14ac:dyDescent="0.25">
      <c r="D137" s="236"/>
      <c r="E137" s="237"/>
      <c r="F137" s="236"/>
      <c r="G137" s="238"/>
      <c r="H137" s="2">
        <v>3117</v>
      </c>
      <c r="I137" s="119">
        <f t="shared" ref="I137:AR137" si="312">SUMIF($F$12:$F$401,"=3117",I$12:I$401)</f>
        <v>23882612</v>
      </c>
      <c r="J137" s="14">
        <f t="shared" si="312"/>
        <v>17717072</v>
      </c>
      <c r="K137" s="14">
        <f t="shared" si="312"/>
        <v>5988370</v>
      </c>
      <c r="L137" s="14">
        <f t="shared" si="312"/>
        <v>177170</v>
      </c>
      <c r="M137" s="14">
        <f t="shared" si="312"/>
        <v>0</v>
      </c>
      <c r="N137" s="823">
        <f t="shared" si="312"/>
        <v>27.044700000000002</v>
      </c>
      <c r="O137" s="120">
        <f t="shared" si="312"/>
        <v>-81600</v>
      </c>
      <c r="P137" s="14">
        <f t="shared" si="312"/>
        <v>4480005</v>
      </c>
      <c r="Q137" s="14">
        <f t="shared" si="312"/>
        <v>0</v>
      </c>
      <c r="R137" s="14">
        <f t="shared" si="312"/>
        <v>0</v>
      </c>
      <c r="S137" s="14">
        <f t="shared" si="312"/>
        <v>0</v>
      </c>
      <c r="T137" s="14">
        <f t="shared" si="312"/>
        <v>0</v>
      </c>
      <c r="U137" s="14">
        <f t="shared" si="312"/>
        <v>4398405</v>
      </c>
      <c r="V137" s="14">
        <f t="shared" si="312"/>
        <v>81600</v>
      </c>
      <c r="W137" s="14">
        <f t="shared" si="312"/>
        <v>0</v>
      </c>
      <c r="X137" s="14">
        <f t="shared" si="312"/>
        <v>0</v>
      </c>
      <c r="Y137" s="14">
        <f t="shared" si="312"/>
        <v>81600</v>
      </c>
      <c r="Z137" s="14">
        <f t="shared" si="312"/>
        <v>4480005</v>
      </c>
      <c r="AA137" s="14">
        <f t="shared" si="312"/>
        <v>1514242</v>
      </c>
      <c r="AB137" s="14">
        <f t="shared" si="312"/>
        <v>43983</v>
      </c>
      <c r="AC137" s="14">
        <f t="shared" si="312"/>
        <v>0</v>
      </c>
      <c r="AD137" s="14">
        <f t="shared" si="312"/>
        <v>6038230</v>
      </c>
      <c r="AE137" s="11">
        <f t="shared" si="312"/>
        <v>-6.0000000000000005E-2</v>
      </c>
      <c r="AF137" s="11">
        <f t="shared" si="312"/>
        <v>11.09</v>
      </c>
      <c r="AG137" s="11">
        <f t="shared" si="312"/>
        <v>0</v>
      </c>
      <c r="AH137" s="11">
        <f t="shared" si="312"/>
        <v>0</v>
      </c>
      <c r="AI137" s="11">
        <f t="shared" si="312"/>
        <v>0</v>
      </c>
      <c r="AJ137" s="11">
        <f t="shared" si="312"/>
        <v>0</v>
      </c>
      <c r="AK137" s="121">
        <f t="shared" si="312"/>
        <v>11.030000000000001</v>
      </c>
      <c r="AL137" s="119">
        <f t="shared" si="312"/>
        <v>29920842</v>
      </c>
      <c r="AM137" s="14">
        <f t="shared" si="312"/>
        <v>22115477</v>
      </c>
      <c r="AN137" s="14">
        <f t="shared" si="312"/>
        <v>81600</v>
      </c>
      <c r="AO137" s="14">
        <f t="shared" si="312"/>
        <v>7502612</v>
      </c>
      <c r="AP137" s="14">
        <f t="shared" si="312"/>
        <v>221153</v>
      </c>
      <c r="AQ137" s="14">
        <f t="shared" si="312"/>
        <v>0</v>
      </c>
      <c r="AR137" s="651">
        <f t="shared" si="312"/>
        <v>38.0747</v>
      </c>
    </row>
    <row r="138" spans="1:44" s="60" customFormat="1" ht="12.95" customHeight="1" x14ac:dyDescent="0.25">
      <c r="D138" s="236"/>
      <c r="E138" s="237"/>
      <c r="F138" s="236"/>
      <c r="G138" s="238"/>
      <c r="H138" s="2">
        <v>3122</v>
      </c>
      <c r="I138" s="119">
        <f t="shared" ref="I138:AR138" si="313">SUMIF($F$12:$F$401,"=3122",I$12:I$401)</f>
        <v>9707838</v>
      </c>
      <c r="J138" s="14">
        <f t="shared" si="313"/>
        <v>7201660</v>
      </c>
      <c r="K138" s="14">
        <f t="shared" si="313"/>
        <v>2434161</v>
      </c>
      <c r="L138" s="14">
        <f t="shared" si="313"/>
        <v>72017</v>
      </c>
      <c r="M138" s="14">
        <f t="shared" si="313"/>
        <v>0</v>
      </c>
      <c r="N138" s="823">
        <f t="shared" si="313"/>
        <v>9.3332999999999995</v>
      </c>
      <c r="O138" s="120">
        <f t="shared" si="313"/>
        <v>-54000</v>
      </c>
      <c r="P138" s="14">
        <f t="shared" si="313"/>
        <v>0</v>
      </c>
      <c r="Q138" s="14">
        <f t="shared" si="313"/>
        <v>0</v>
      </c>
      <c r="R138" s="14">
        <f t="shared" si="313"/>
        <v>0</v>
      </c>
      <c r="S138" s="14">
        <f t="shared" si="313"/>
        <v>0</v>
      </c>
      <c r="T138" s="14">
        <f t="shared" si="313"/>
        <v>0</v>
      </c>
      <c r="U138" s="14">
        <f t="shared" si="313"/>
        <v>-54000</v>
      </c>
      <c r="V138" s="14">
        <f t="shared" si="313"/>
        <v>54000</v>
      </c>
      <c r="W138" s="14">
        <f t="shared" si="313"/>
        <v>302739</v>
      </c>
      <c r="X138" s="14">
        <f t="shared" si="313"/>
        <v>0</v>
      </c>
      <c r="Y138" s="14">
        <f t="shared" si="313"/>
        <v>356739</v>
      </c>
      <c r="Z138" s="14">
        <f t="shared" si="313"/>
        <v>302739</v>
      </c>
      <c r="AA138" s="14">
        <f t="shared" si="313"/>
        <v>102326</v>
      </c>
      <c r="AB138" s="14">
        <f t="shared" si="313"/>
        <v>-540</v>
      </c>
      <c r="AC138" s="14">
        <f t="shared" si="313"/>
        <v>0</v>
      </c>
      <c r="AD138" s="14">
        <f t="shared" si="313"/>
        <v>404525</v>
      </c>
      <c r="AE138" s="11">
        <f t="shared" si="313"/>
        <v>-0.03</v>
      </c>
      <c r="AF138" s="11">
        <f t="shared" si="313"/>
        <v>0</v>
      </c>
      <c r="AG138" s="11">
        <f t="shared" si="313"/>
        <v>0</v>
      </c>
      <c r="AH138" s="11">
        <f t="shared" si="313"/>
        <v>0</v>
      </c>
      <c r="AI138" s="11">
        <f t="shared" si="313"/>
        <v>0</v>
      </c>
      <c r="AJ138" s="11">
        <f t="shared" si="313"/>
        <v>0</v>
      </c>
      <c r="AK138" s="121">
        <f t="shared" si="313"/>
        <v>-0.03</v>
      </c>
      <c r="AL138" s="119">
        <f t="shared" si="313"/>
        <v>10112363</v>
      </c>
      <c r="AM138" s="14">
        <f t="shared" si="313"/>
        <v>7147660</v>
      </c>
      <c r="AN138" s="14">
        <f t="shared" si="313"/>
        <v>356739</v>
      </c>
      <c r="AO138" s="14">
        <f t="shared" si="313"/>
        <v>2536487</v>
      </c>
      <c r="AP138" s="14">
        <f t="shared" si="313"/>
        <v>71477</v>
      </c>
      <c r="AQ138" s="14">
        <f t="shared" si="313"/>
        <v>0</v>
      </c>
      <c r="AR138" s="651">
        <f t="shared" si="313"/>
        <v>9.3033000000000001</v>
      </c>
    </row>
    <row r="139" spans="1:44" s="60" customFormat="1" ht="12.95" customHeight="1" x14ac:dyDescent="0.25">
      <c r="D139" s="236"/>
      <c r="E139" s="237"/>
      <c r="F139" s="236"/>
      <c r="G139" s="238"/>
      <c r="H139" s="2">
        <v>3124</v>
      </c>
      <c r="I139" s="119">
        <f t="shared" ref="I139:AR139" si="314">SUMIF($F$12:$F$401,"=3124",I$12:I$401)</f>
        <v>0</v>
      </c>
      <c r="J139" s="14">
        <f t="shared" si="314"/>
        <v>0</v>
      </c>
      <c r="K139" s="14">
        <f t="shared" si="314"/>
        <v>0</v>
      </c>
      <c r="L139" s="14">
        <f t="shared" si="314"/>
        <v>0</v>
      </c>
      <c r="M139" s="14">
        <f t="shared" si="314"/>
        <v>0</v>
      </c>
      <c r="N139" s="823">
        <f t="shared" si="314"/>
        <v>0</v>
      </c>
      <c r="O139" s="120">
        <f t="shared" si="314"/>
        <v>0</v>
      </c>
      <c r="P139" s="14">
        <f t="shared" si="314"/>
        <v>0</v>
      </c>
      <c r="Q139" s="14">
        <f t="shared" si="314"/>
        <v>0</v>
      </c>
      <c r="R139" s="14">
        <f t="shared" si="314"/>
        <v>0</v>
      </c>
      <c r="S139" s="14">
        <f t="shared" si="314"/>
        <v>0</v>
      </c>
      <c r="T139" s="14">
        <f t="shared" si="314"/>
        <v>0</v>
      </c>
      <c r="U139" s="14">
        <f t="shared" si="314"/>
        <v>0</v>
      </c>
      <c r="V139" s="14">
        <f t="shared" si="314"/>
        <v>0</v>
      </c>
      <c r="W139" s="14">
        <f t="shared" si="314"/>
        <v>0</v>
      </c>
      <c r="X139" s="14">
        <f t="shared" si="314"/>
        <v>0</v>
      </c>
      <c r="Y139" s="14">
        <f t="shared" si="314"/>
        <v>0</v>
      </c>
      <c r="Z139" s="14">
        <f t="shared" si="314"/>
        <v>0</v>
      </c>
      <c r="AA139" s="14">
        <f t="shared" si="314"/>
        <v>0</v>
      </c>
      <c r="AB139" s="14">
        <f t="shared" si="314"/>
        <v>0</v>
      </c>
      <c r="AC139" s="14">
        <f t="shared" si="314"/>
        <v>0</v>
      </c>
      <c r="AD139" s="14">
        <f t="shared" si="314"/>
        <v>0</v>
      </c>
      <c r="AE139" s="11">
        <f t="shared" si="314"/>
        <v>0</v>
      </c>
      <c r="AF139" s="11">
        <f t="shared" si="314"/>
        <v>0</v>
      </c>
      <c r="AG139" s="11">
        <f t="shared" si="314"/>
        <v>0</v>
      </c>
      <c r="AH139" s="11">
        <f t="shared" si="314"/>
        <v>0</v>
      </c>
      <c r="AI139" s="11">
        <f t="shared" si="314"/>
        <v>0</v>
      </c>
      <c r="AJ139" s="11">
        <f t="shared" si="314"/>
        <v>0</v>
      </c>
      <c r="AK139" s="121">
        <f t="shared" si="314"/>
        <v>0</v>
      </c>
      <c r="AL139" s="119">
        <f t="shared" si="314"/>
        <v>0</v>
      </c>
      <c r="AM139" s="14">
        <f t="shared" si="314"/>
        <v>0</v>
      </c>
      <c r="AN139" s="14">
        <f t="shared" si="314"/>
        <v>0</v>
      </c>
      <c r="AO139" s="14">
        <f t="shared" si="314"/>
        <v>0</v>
      </c>
      <c r="AP139" s="14">
        <f t="shared" si="314"/>
        <v>0</v>
      </c>
      <c r="AQ139" s="14">
        <f t="shared" si="314"/>
        <v>0</v>
      </c>
      <c r="AR139" s="651">
        <f t="shared" si="314"/>
        <v>0</v>
      </c>
    </row>
    <row r="140" spans="1:44" s="60" customFormat="1" x14ac:dyDescent="0.25">
      <c r="D140" s="236"/>
      <c r="E140" s="237"/>
      <c r="F140" s="236"/>
      <c r="G140" s="238"/>
      <c r="H140" s="2">
        <v>3141</v>
      </c>
      <c r="I140" s="119">
        <f t="shared" ref="I140:AR140" si="315">SUMIF($F$12:$F$401,"=3141",I$12:I$401)</f>
        <v>0</v>
      </c>
      <c r="J140" s="14">
        <f t="shared" si="315"/>
        <v>0</v>
      </c>
      <c r="K140" s="14">
        <f t="shared" si="315"/>
        <v>0</v>
      </c>
      <c r="L140" s="14">
        <f t="shared" si="315"/>
        <v>0</v>
      </c>
      <c r="M140" s="14">
        <f t="shared" si="315"/>
        <v>0</v>
      </c>
      <c r="N140" s="823">
        <f t="shared" si="315"/>
        <v>0</v>
      </c>
      <c r="O140" s="120">
        <f t="shared" si="315"/>
        <v>0</v>
      </c>
      <c r="P140" s="14">
        <f t="shared" si="315"/>
        <v>0</v>
      </c>
      <c r="Q140" s="14">
        <f t="shared" si="315"/>
        <v>0</v>
      </c>
      <c r="R140" s="14">
        <f t="shared" si="315"/>
        <v>0</v>
      </c>
      <c r="S140" s="14">
        <f t="shared" si="315"/>
        <v>0</v>
      </c>
      <c r="T140" s="14">
        <f t="shared" si="315"/>
        <v>0</v>
      </c>
      <c r="U140" s="14">
        <f t="shared" si="315"/>
        <v>0</v>
      </c>
      <c r="V140" s="14">
        <f t="shared" si="315"/>
        <v>0</v>
      </c>
      <c r="W140" s="14">
        <f t="shared" si="315"/>
        <v>0</v>
      </c>
      <c r="X140" s="14">
        <f t="shared" si="315"/>
        <v>0</v>
      </c>
      <c r="Y140" s="14">
        <f t="shared" si="315"/>
        <v>0</v>
      </c>
      <c r="Z140" s="14">
        <f t="shared" si="315"/>
        <v>0</v>
      </c>
      <c r="AA140" s="14">
        <f t="shared" si="315"/>
        <v>0</v>
      </c>
      <c r="AB140" s="14">
        <f t="shared" si="315"/>
        <v>0</v>
      </c>
      <c r="AC140" s="14">
        <f t="shared" si="315"/>
        <v>0</v>
      </c>
      <c r="AD140" s="14">
        <f t="shared" si="315"/>
        <v>0</v>
      </c>
      <c r="AE140" s="11">
        <f t="shared" si="315"/>
        <v>0</v>
      </c>
      <c r="AF140" s="11">
        <f t="shared" si="315"/>
        <v>0</v>
      </c>
      <c r="AG140" s="11">
        <f t="shared" si="315"/>
        <v>0</v>
      </c>
      <c r="AH140" s="11">
        <f t="shared" si="315"/>
        <v>0</v>
      </c>
      <c r="AI140" s="11">
        <f t="shared" si="315"/>
        <v>0</v>
      </c>
      <c r="AJ140" s="11">
        <f t="shared" si="315"/>
        <v>0</v>
      </c>
      <c r="AK140" s="121">
        <f t="shared" si="315"/>
        <v>0</v>
      </c>
      <c r="AL140" s="119">
        <f t="shared" si="315"/>
        <v>0</v>
      </c>
      <c r="AM140" s="14">
        <f t="shared" si="315"/>
        <v>0</v>
      </c>
      <c r="AN140" s="14">
        <f t="shared" si="315"/>
        <v>0</v>
      </c>
      <c r="AO140" s="14">
        <f t="shared" si="315"/>
        <v>0</v>
      </c>
      <c r="AP140" s="14">
        <f t="shared" si="315"/>
        <v>0</v>
      </c>
      <c r="AQ140" s="14">
        <f t="shared" si="315"/>
        <v>0</v>
      </c>
      <c r="AR140" s="651">
        <f t="shared" si="315"/>
        <v>0</v>
      </c>
    </row>
    <row r="141" spans="1:44" s="60" customFormat="1" x14ac:dyDescent="0.25">
      <c r="D141" s="236"/>
      <c r="E141" s="237"/>
      <c r="F141" s="236"/>
      <c r="G141" s="238"/>
      <c r="H141" s="2">
        <v>3143</v>
      </c>
      <c r="I141" s="119">
        <f t="shared" ref="I141:AR141" si="316">SUMIF($F$12:$F$401,"=3143",I$12:I$401)</f>
        <v>16514634</v>
      </c>
      <c r="J141" s="14">
        <f t="shared" si="316"/>
        <v>12251212</v>
      </c>
      <c r="K141" s="14">
        <f t="shared" si="316"/>
        <v>4140911</v>
      </c>
      <c r="L141" s="14">
        <f t="shared" si="316"/>
        <v>122511</v>
      </c>
      <c r="M141" s="14">
        <f t="shared" si="316"/>
        <v>0</v>
      </c>
      <c r="N141" s="823">
        <f t="shared" si="316"/>
        <v>23.286099999999998</v>
      </c>
      <c r="O141" s="120">
        <f t="shared" si="316"/>
        <v>-106200</v>
      </c>
      <c r="P141" s="14">
        <f t="shared" si="316"/>
        <v>0</v>
      </c>
      <c r="Q141" s="14">
        <f t="shared" si="316"/>
        <v>0</v>
      </c>
      <c r="R141" s="14">
        <f t="shared" si="316"/>
        <v>0</v>
      </c>
      <c r="S141" s="14">
        <f t="shared" si="316"/>
        <v>0</v>
      </c>
      <c r="T141" s="14">
        <f t="shared" si="316"/>
        <v>0</v>
      </c>
      <c r="U141" s="14">
        <f t="shared" si="316"/>
        <v>-106200</v>
      </c>
      <c r="V141" s="14">
        <f t="shared" si="316"/>
        <v>106200</v>
      </c>
      <c r="W141" s="14">
        <f t="shared" si="316"/>
        <v>0</v>
      </c>
      <c r="X141" s="14">
        <f t="shared" si="316"/>
        <v>0</v>
      </c>
      <c r="Y141" s="14">
        <f t="shared" si="316"/>
        <v>106200</v>
      </c>
      <c r="Z141" s="14">
        <f t="shared" si="316"/>
        <v>0</v>
      </c>
      <c r="AA141" s="14">
        <f t="shared" si="316"/>
        <v>0</v>
      </c>
      <c r="AB141" s="14">
        <f t="shared" si="316"/>
        <v>-1062</v>
      </c>
      <c r="AC141" s="14">
        <f t="shared" si="316"/>
        <v>0</v>
      </c>
      <c r="AD141" s="14">
        <f t="shared" si="316"/>
        <v>-1062</v>
      </c>
      <c r="AE141" s="11">
        <f t="shared" si="316"/>
        <v>-0.1</v>
      </c>
      <c r="AF141" s="11">
        <f t="shared" si="316"/>
        <v>0</v>
      </c>
      <c r="AG141" s="11">
        <f t="shared" si="316"/>
        <v>0</v>
      </c>
      <c r="AH141" s="11">
        <f t="shared" si="316"/>
        <v>0</v>
      </c>
      <c r="AI141" s="11">
        <f t="shared" si="316"/>
        <v>0</v>
      </c>
      <c r="AJ141" s="11">
        <f t="shared" si="316"/>
        <v>0</v>
      </c>
      <c r="AK141" s="121">
        <f t="shared" si="316"/>
        <v>-0.1</v>
      </c>
      <c r="AL141" s="119">
        <f t="shared" si="316"/>
        <v>16513572</v>
      </c>
      <c r="AM141" s="14">
        <f t="shared" si="316"/>
        <v>12145012</v>
      </c>
      <c r="AN141" s="14">
        <f t="shared" si="316"/>
        <v>106200</v>
      </c>
      <c r="AO141" s="14">
        <f t="shared" si="316"/>
        <v>4140911</v>
      </c>
      <c r="AP141" s="14">
        <f t="shared" si="316"/>
        <v>121449</v>
      </c>
      <c r="AQ141" s="14">
        <f t="shared" si="316"/>
        <v>0</v>
      </c>
      <c r="AR141" s="651">
        <f t="shared" si="316"/>
        <v>23.186100000000003</v>
      </c>
    </row>
    <row r="142" spans="1:44" s="60" customFormat="1" x14ac:dyDescent="0.25">
      <c r="D142" s="236"/>
      <c r="E142" s="237"/>
      <c r="F142" s="236"/>
      <c r="G142" s="238"/>
      <c r="H142" s="2">
        <v>3231</v>
      </c>
      <c r="I142" s="119">
        <f t="shared" ref="I142:AR142" si="317">SUMIF($F$12:$F$401,"=3231",I$12:I$401)</f>
        <v>36743586</v>
      </c>
      <c r="J142" s="14">
        <f t="shared" si="317"/>
        <v>27257853</v>
      </c>
      <c r="K142" s="14">
        <f t="shared" si="317"/>
        <v>9213155</v>
      </c>
      <c r="L142" s="14">
        <f t="shared" si="317"/>
        <v>272578</v>
      </c>
      <c r="M142" s="14">
        <f t="shared" si="317"/>
        <v>0</v>
      </c>
      <c r="N142" s="823">
        <f t="shared" si="317"/>
        <v>40.871899999999997</v>
      </c>
      <c r="O142" s="120">
        <f t="shared" si="317"/>
        <v>-50400</v>
      </c>
      <c r="P142" s="14">
        <f t="shared" si="317"/>
        <v>0</v>
      </c>
      <c r="Q142" s="14">
        <f t="shared" si="317"/>
        <v>0</v>
      </c>
      <c r="R142" s="14">
        <f t="shared" si="317"/>
        <v>0</v>
      </c>
      <c r="S142" s="14">
        <f t="shared" si="317"/>
        <v>0</v>
      </c>
      <c r="T142" s="14">
        <f t="shared" si="317"/>
        <v>0</v>
      </c>
      <c r="U142" s="14">
        <f t="shared" si="317"/>
        <v>-50400</v>
      </c>
      <c r="V142" s="14">
        <f t="shared" si="317"/>
        <v>50400</v>
      </c>
      <c r="W142" s="14">
        <f t="shared" si="317"/>
        <v>0</v>
      </c>
      <c r="X142" s="14">
        <f t="shared" si="317"/>
        <v>0</v>
      </c>
      <c r="Y142" s="14">
        <f t="shared" si="317"/>
        <v>50400</v>
      </c>
      <c r="Z142" s="14">
        <f t="shared" si="317"/>
        <v>0</v>
      </c>
      <c r="AA142" s="14">
        <f t="shared" si="317"/>
        <v>0</v>
      </c>
      <c r="AB142" s="14">
        <f t="shared" si="317"/>
        <v>-504</v>
      </c>
      <c r="AC142" s="14">
        <f t="shared" si="317"/>
        <v>0</v>
      </c>
      <c r="AD142" s="14">
        <f t="shared" si="317"/>
        <v>-504</v>
      </c>
      <c r="AE142" s="11">
        <f t="shared" si="317"/>
        <v>-0.06</v>
      </c>
      <c r="AF142" s="11">
        <f t="shared" si="317"/>
        <v>0</v>
      </c>
      <c r="AG142" s="11">
        <f t="shared" si="317"/>
        <v>0</v>
      </c>
      <c r="AH142" s="11">
        <f t="shared" si="317"/>
        <v>0</v>
      </c>
      <c r="AI142" s="11">
        <f t="shared" si="317"/>
        <v>0</v>
      </c>
      <c r="AJ142" s="11">
        <f t="shared" si="317"/>
        <v>0</v>
      </c>
      <c r="AK142" s="121">
        <f t="shared" si="317"/>
        <v>-0.06</v>
      </c>
      <c r="AL142" s="119">
        <f t="shared" si="317"/>
        <v>36743082</v>
      </c>
      <c r="AM142" s="14">
        <f t="shared" si="317"/>
        <v>27207453</v>
      </c>
      <c r="AN142" s="14">
        <f t="shared" si="317"/>
        <v>50400</v>
      </c>
      <c r="AO142" s="14">
        <f t="shared" si="317"/>
        <v>9213155</v>
      </c>
      <c r="AP142" s="14">
        <f t="shared" si="317"/>
        <v>272074</v>
      </c>
      <c r="AQ142" s="14">
        <f t="shared" si="317"/>
        <v>0</v>
      </c>
      <c r="AR142" s="651">
        <f t="shared" si="317"/>
        <v>40.811900000000001</v>
      </c>
    </row>
    <row r="143" spans="1:44" s="60" customFormat="1" ht="15.75" thickBot="1" x14ac:dyDescent="0.3">
      <c r="D143" s="236"/>
      <c r="E143" s="237"/>
      <c r="F143" s="236"/>
      <c r="G143" s="238"/>
      <c r="H143" s="103">
        <v>3233</v>
      </c>
      <c r="I143" s="122">
        <f t="shared" ref="I143:AR143" si="318">SUMIF($F$12:$F$401,"=3233",I$12:I$401)</f>
        <v>4784498</v>
      </c>
      <c r="J143" s="123">
        <f t="shared" si="318"/>
        <v>3549329</v>
      </c>
      <c r="K143" s="123">
        <f t="shared" si="318"/>
        <v>1199675</v>
      </c>
      <c r="L143" s="123">
        <f t="shared" si="318"/>
        <v>35494</v>
      </c>
      <c r="M143" s="123">
        <f t="shared" si="318"/>
        <v>0</v>
      </c>
      <c r="N143" s="824">
        <f t="shared" si="318"/>
        <v>6.01</v>
      </c>
      <c r="O143" s="125">
        <f t="shared" si="318"/>
        <v>-15000</v>
      </c>
      <c r="P143" s="123">
        <f t="shared" si="318"/>
        <v>0</v>
      </c>
      <c r="Q143" s="123">
        <f t="shared" si="318"/>
        <v>0</v>
      </c>
      <c r="R143" s="123">
        <f t="shared" si="318"/>
        <v>0</v>
      </c>
      <c r="S143" s="123">
        <f t="shared" si="318"/>
        <v>0</v>
      </c>
      <c r="T143" s="123">
        <f t="shared" si="318"/>
        <v>0</v>
      </c>
      <c r="U143" s="123">
        <f t="shared" si="318"/>
        <v>-15000</v>
      </c>
      <c r="V143" s="123">
        <f t="shared" si="318"/>
        <v>15000</v>
      </c>
      <c r="W143" s="123">
        <f t="shared" si="318"/>
        <v>0</v>
      </c>
      <c r="X143" s="123">
        <f t="shared" si="318"/>
        <v>0</v>
      </c>
      <c r="Y143" s="123">
        <f t="shared" si="318"/>
        <v>15000</v>
      </c>
      <c r="Z143" s="123">
        <f t="shared" si="318"/>
        <v>0</v>
      </c>
      <c r="AA143" s="123">
        <f t="shared" si="318"/>
        <v>0</v>
      </c>
      <c r="AB143" s="123">
        <f t="shared" si="318"/>
        <v>-150</v>
      </c>
      <c r="AC143" s="123">
        <f t="shared" si="318"/>
        <v>0</v>
      </c>
      <c r="AD143" s="123">
        <f t="shared" si="318"/>
        <v>-150</v>
      </c>
      <c r="AE143" s="124">
        <f t="shared" si="318"/>
        <v>-0.03</v>
      </c>
      <c r="AF143" s="124">
        <f t="shared" si="318"/>
        <v>0</v>
      </c>
      <c r="AG143" s="124">
        <f t="shared" si="318"/>
        <v>0</v>
      </c>
      <c r="AH143" s="124">
        <f t="shared" si="318"/>
        <v>0</v>
      </c>
      <c r="AI143" s="124">
        <f t="shared" si="318"/>
        <v>0</v>
      </c>
      <c r="AJ143" s="124">
        <f t="shared" si="318"/>
        <v>0</v>
      </c>
      <c r="AK143" s="126">
        <f t="shared" si="318"/>
        <v>-0.03</v>
      </c>
      <c r="AL143" s="122">
        <f t="shared" si="318"/>
        <v>4784348</v>
      </c>
      <c r="AM143" s="123">
        <f t="shared" si="318"/>
        <v>3534329</v>
      </c>
      <c r="AN143" s="123">
        <f t="shared" si="318"/>
        <v>15000</v>
      </c>
      <c r="AO143" s="123">
        <f t="shared" si="318"/>
        <v>1199675</v>
      </c>
      <c r="AP143" s="123">
        <f t="shared" si="318"/>
        <v>35344</v>
      </c>
      <c r="AQ143" s="123">
        <f t="shared" si="318"/>
        <v>0</v>
      </c>
      <c r="AR143" s="653">
        <f t="shared" si="318"/>
        <v>5.98</v>
      </c>
    </row>
    <row r="145" spans="1:44" s="239" customFormat="1" x14ac:dyDescent="0.25">
      <c r="A145" s="233"/>
      <c r="B145" s="175"/>
      <c r="C145" s="267"/>
      <c r="D145" s="175"/>
      <c r="E145" s="175"/>
      <c r="F145" s="175"/>
      <c r="G145" s="175"/>
      <c r="H145" s="175"/>
      <c r="N145" s="732"/>
      <c r="S145" s="462"/>
      <c r="Z145" s="240"/>
      <c r="AA145" s="240"/>
      <c r="AE145" s="240"/>
      <c r="AF145" s="240"/>
      <c r="AG145" s="240"/>
      <c r="AH145" s="240"/>
      <c r="AI145" s="463"/>
      <c r="AJ145" s="240"/>
      <c r="AK145" s="240"/>
      <c r="AL145" s="240"/>
      <c r="AM145" s="240"/>
      <c r="AN145" s="240"/>
      <c r="AO145" s="240"/>
      <c r="AP145" s="240"/>
      <c r="AQ145" s="240"/>
      <c r="AR145" s="240"/>
    </row>
  </sheetData>
  <mergeCells count="45">
    <mergeCell ref="Z7:Z10"/>
    <mergeCell ref="O9:O10"/>
    <mergeCell ref="R9:R10"/>
    <mergeCell ref="T9:T10"/>
    <mergeCell ref="V9:V10"/>
    <mergeCell ref="X9:X10"/>
    <mergeCell ref="S9:S10"/>
    <mergeCell ref="M9:M10"/>
    <mergeCell ref="N8:N10"/>
    <mergeCell ref="J9:J10"/>
    <mergeCell ref="K9:K10"/>
    <mergeCell ref="J8:L8"/>
    <mergeCell ref="AL6:AR7"/>
    <mergeCell ref="AN9:AN10"/>
    <mergeCell ref="AR8:AR10"/>
    <mergeCell ref="AM9:AM10"/>
    <mergeCell ref="AO9:AO10"/>
    <mergeCell ref="AP9:AP10"/>
    <mergeCell ref="AL8:AL10"/>
    <mergeCell ref="AQ9:AQ10"/>
    <mergeCell ref="AM8:AP8"/>
    <mergeCell ref="AK8:AK10"/>
    <mergeCell ref="AA7:AA10"/>
    <mergeCell ref="AB7:AB10"/>
    <mergeCell ref="AG8:AG10"/>
    <mergeCell ref="AH8:AH10"/>
    <mergeCell ref="AC7:AC10"/>
    <mergeCell ref="AE8:AE10"/>
    <mergeCell ref="AF8:AF10"/>
    <mergeCell ref="A3:E3"/>
    <mergeCell ref="I8:I10"/>
    <mergeCell ref="I6:N7"/>
    <mergeCell ref="Y9:Y10"/>
    <mergeCell ref="O6:AK6"/>
    <mergeCell ref="U9:U10"/>
    <mergeCell ref="W9:W10"/>
    <mergeCell ref="Q9:Q10"/>
    <mergeCell ref="AE7:AK7"/>
    <mergeCell ref="L9:L10"/>
    <mergeCell ref="AD7:AD10"/>
    <mergeCell ref="P9:P10"/>
    <mergeCell ref="O7:U8"/>
    <mergeCell ref="V7:Y8"/>
    <mergeCell ref="AI8:AI10"/>
    <mergeCell ref="AJ8:AJ1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</vt:i4>
      </vt:variant>
    </vt:vector>
  </HeadingPairs>
  <TitlesOfParts>
    <vt:vector size="14" baseType="lpstr">
      <vt:lpstr>komentář</vt:lpstr>
      <vt:lpstr>LB </vt:lpstr>
      <vt:lpstr>FR</vt:lpstr>
      <vt:lpstr>JN</vt:lpstr>
      <vt:lpstr>TA</vt:lpstr>
      <vt:lpstr>ŽB</vt:lpstr>
      <vt:lpstr>ČL</vt:lpstr>
      <vt:lpstr>NB</vt:lpstr>
      <vt:lpstr>SM</vt:lpstr>
      <vt:lpstr>JI</vt:lpstr>
      <vt:lpstr>TU</vt:lpstr>
      <vt:lpstr>sumář</vt:lpstr>
      <vt:lpstr>FR!Názvy_tisku</vt:lpstr>
      <vt:lpstr>'LB '!Názvy_tisku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admin;katerina.parmova@kraj-lbc.cz</dc:creator>
  <cp:lastModifiedBy>Löfflerová Kamila</cp:lastModifiedBy>
  <cp:lastPrinted>2026-05-06T12:08:18Z</cp:lastPrinted>
  <dcterms:created xsi:type="dcterms:W3CDTF">2009-03-06T07:28:09Z</dcterms:created>
  <dcterms:modified xsi:type="dcterms:W3CDTF">2026-05-07T06:34:07Z</dcterms:modified>
</cp:coreProperties>
</file>